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180" windowWidth="16845" windowHeight="10575"/>
  </bookViews>
  <sheets>
    <sheet name="Table S1" sheetId="4" r:id="rId1"/>
    <sheet name="Sheet1" sheetId="5" r:id="rId2"/>
  </sheets>
  <calcPr calcId="144525"/>
</workbook>
</file>

<file path=xl/calcChain.xml><?xml version="1.0" encoding="utf-8"?>
<calcChain xmlns="http://schemas.openxmlformats.org/spreadsheetml/2006/main">
  <c r="E189" i="4" l="1"/>
  <c r="E188" i="4"/>
  <c r="E187" i="4"/>
  <c r="E186" i="4"/>
  <c r="E185" i="4"/>
  <c r="E184" i="4"/>
  <c r="E183" i="4"/>
  <c r="E182" i="4"/>
  <c r="E181" i="4"/>
  <c r="E180" i="4"/>
  <c r="E179" i="4"/>
  <c r="E178" i="4"/>
  <c r="E177" i="4"/>
  <c r="E176" i="4"/>
  <c r="E175" i="4"/>
  <c r="E256" i="4"/>
  <c r="E255" i="4"/>
  <c r="E254" i="4"/>
  <c r="E253" i="4"/>
  <c r="E252" i="4"/>
  <c r="E251" i="4"/>
  <c r="E172" i="4"/>
  <c r="E164" i="4"/>
  <c r="E163" i="4"/>
  <c r="E161" i="4"/>
  <c r="E160" i="4"/>
  <c r="E168" i="4"/>
  <c r="E167" i="4"/>
  <c r="E166" i="4"/>
  <c r="E165" i="4"/>
  <c r="E162" i="4"/>
  <c r="E159" i="4"/>
  <c r="E158" i="4"/>
  <c r="E157" i="4"/>
  <c r="E156" i="4"/>
  <c r="E155" i="4"/>
  <c r="E154" i="4"/>
  <c r="E153" i="4"/>
  <c r="E152" i="4"/>
  <c r="E151" i="4"/>
  <c r="E150" i="4"/>
  <c r="E217" i="4" l="1"/>
  <c r="E216" i="4"/>
  <c r="E215" i="4"/>
  <c r="E214" i="4"/>
  <c r="E213" i="4"/>
  <c r="E212" i="4"/>
  <c r="E97" i="4"/>
  <c r="E96" i="4"/>
  <c r="E95" i="4"/>
  <c r="E93" i="4"/>
  <c r="E92" i="4"/>
  <c r="E91" i="4"/>
  <c r="E90" i="4"/>
  <c r="E89" i="4"/>
  <c r="D42" i="4" l="1"/>
  <c r="D36" i="4"/>
  <c r="D31" i="4"/>
  <c r="D25" i="4"/>
  <c r="D21" i="4"/>
  <c r="E87" i="4"/>
  <c r="E86" i="4"/>
  <c r="E79" i="4"/>
  <c r="E85" i="4"/>
  <c r="E82" i="4"/>
  <c r="E84" i="4"/>
  <c r="E83" i="4"/>
  <c r="E81" i="4"/>
  <c r="E80" i="4"/>
  <c r="E71" i="4"/>
  <c r="E70" i="4"/>
  <c r="E69" i="4"/>
  <c r="E68" i="4"/>
  <c r="E72" i="4"/>
  <c r="E67" i="4"/>
  <c r="E66" i="4"/>
  <c r="E65" i="4"/>
  <c r="E64" i="4"/>
  <c r="E63" i="4"/>
  <c r="E117" i="4"/>
  <c r="E116" i="4"/>
  <c r="E115" i="4"/>
  <c r="E114" i="4"/>
  <c r="E113" i="4"/>
  <c r="E112" i="4"/>
  <c r="E111" i="4"/>
  <c r="E110" i="4"/>
  <c r="E109" i="4"/>
  <c r="E108" i="4"/>
  <c r="E107" i="4"/>
  <c r="E106" i="4"/>
  <c r="E105" i="4"/>
  <c r="E104" i="4"/>
  <c r="E103" i="4"/>
  <c r="E102" i="4"/>
  <c r="E101" i="4"/>
  <c r="E100" i="4"/>
  <c r="E99" i="4"/>
  <c r="E133" i="4"/>
  <c r="E132" i="4"/>
  <c r="E135" i="4"/>
  <c r="E134" i="4"/>
  <c r="E131" i="4"/>
  <c r="E130" i="4"/>
  <c r="E206" i="4"/>
  <c r="E205" i="4"/>
  <c r="E204" i="4"/>
  <c r="E203" i="4"/>
  <c r="E202" i="4"/>
  <c r="E201" i="4"/>
  <c r="E199" i="4"/>
  <c r="E198" i="4"/>
  <c r="E197" i="4"/>
  <c r="E195" i="4"/>
  <c r="E194" i="4"/>
  <c r="E193" i="4"/>
  <c r="E126" i="4"/>
  <c r="E125" i="4"/>
  <c r="E123" i="4"/>
  <c r="E122" i="4"/>
  <c r="E121" i="4"/>
  <c r="E120" i="4"/>
  <c r="E119" i="4"/>
  <c r="E128" i="4"/>
  <c r="E249" i="4"/>
  <c r="E248" i="4"/>
  <c r="E247" i="4"/>
  <c r="E242" i="4"/>
  <c r="E241" i="4"/>
  <c r="E246" i="4"/>
  <c r="E245" i="4"/>
  <c r="E240" i="4"/>
  <c r="E244" i="4"/>
  <c r="E243" i="4"/>
  <c r="E239" i="4"/>
  <c r="E238" i="4"/>
  <c r="E237" i="4"/>
  <c r="E236" i="4"/>
  <c r="E235" i="4"/>
  <c r="E234" i="4"/>
  <c r="E233" i="4"/>
</calcChain>
</file>

<file path=xl/sharedStrings.xml><?xml version="1.0" encoding="utf-8"?>
<sst xmlns="http://schemas.openxmlformats.org/spreadsheetml/2006/main" count="753" uniqueCount="322">
  <si>
    <t>Artemisia</t>
  </si>
  <si>
    <t>Cistus</t>
  </si>
  <si>
    <t>crispus</t>
  </si>
  <si>
    <t>osbeckiaefolius</t>
  </si>
  <si>
    <t>populifolius</t>
  </si>
  <si>
    <t>creticus</t>
  </si>
  <si>
    <t>austriaca</t>
  </si>
  <si>
    <t>ladanifer</t>
  </si>
  <si>
    <t>glacialis</t>
  </si>
  <si>
    <t>laurifolius</t>
  </si>
  <si>
    <t>sieversiana</t>
  </si>
  <si>
    <t>A. absinthium complex</t>
  </si>
  <si>
    <t>salviifolius</t>
  </si>
  <si>
    <t>absinthium</t>
  </si>
  <si>
    <t>albidus</t>
  </si>
  <si>
    <t>santolinifolia</t>
  </si>
  <si>
    <t>heterophyllus</t>
  </si>
  <si>
    <t>fragrans</t>
  </si>
  <si>
    <t>symphytifolius</t>
  </si>
  <si>
    <t>herba-alba</t>
  </si>
  <si>
    <t>parviflorus</t>
  </si>
  <si>
    <t>caerulescens</t>
  </si>
  <si>
    <t>psilosepalus</t>
  </si>
  <si>
    <t>clusii</t>
  </si>
  <si>
    <t>albanicus</t>
  </si>
  <si>
    <t>libanotis</t>
  </si>
  <si>
    <t>monspeliensis</t>
  </si>
  <si>
    <t>stelleriana</t>
  </si>
  <si>
    <t>afra</t>
  </si>
  <si>
    <t>nova</t>
  </si>
  <si>
    <t>kansuensis</t>
  </si>
  <si>
    <t>vulgaris</t>
  </si>
  <si>
    <t>lagocephala</t>
  </si>
  <si>
    <t>filifolia</t>
  </si>
  <si>
    <t>tridentata</t>
  </si>
  <si>
    <t>cana</t>
  </si>
  <si>
    <t>A. vulgaris complex</t>
  </si>
  <si>
    <t>A. afra clade</t>
  </si>
  <si>
    <t>Genus</t>
  </si>
  <si>
    <t>Family</t>
  </si>
  <si>
    <t>Agave</t>
  </si>
  <si>
    <t>victoriae-reginae</t>
  </si>
  <si>
    <t>attenuata</t>
  </si>
  <si>
    <t>deserti</t>
  </si>
  <si>
    <t>nitida</t>
  </si>
  <si>
    <t>chinensis</t>
  </si>
  <si>
    <t>ROSACEAE</t>
  </si>
  <si>
    <t>Crataegus</t>
  </si>
  <si>
    <t>punctata</t>
  </si>
  <si>
    <t>triflora</t>
  </si>
  <si>
    <t>suksdorfii</t>
  </si>
  <si>
    <t>mollis</t>
  </si>
  <si>
    <t>laevigata</t>
  </si>
  <si>
    <t>monogyna</t>
  </si>
  <si>
    <t>pinnatifida</t>
  </si>
  <si>
    <t>calpodendron</t>
  </si>
  <si>
    <t>wilsonii</t>
  </si>
  <si>
    <t>chlorosarca</t>
  </si>
  <si>
    <t>dahurica</t>
  </si>
  <si>
    <t>saligna</t>
  </si>
  <si>
    <t>nigra</t>
  </si>
  <si>
    <t>Malus</t>
  </si>
  <si>
    <t>yunnanensis</t>
  </si>
  <si>
    <t>prattii</t>
  </si>
  <si>
    <t>baccata</t>
  </si>
  <si>
    <t>fusca</t>
  </si>
  <si>
    <t>hupehensis</t>
  </si>
  <si>
    <t>sylvestris</t>
  </si>
  <si>
    <t>zhaojiaoensis</t>
  </si>
  <si>
    <t>prunifolia</t>
  </si>
  <si>
    <t>orientalis</t>
  </si>
  <si>
    <t>spectabilis</t>
  </si>
  <si>
    <t>floribunda</t>
  </si>
  <si>
    <t>sieboldii</t>
  </si>
  <si>
    <t>pumila</t>
  </si>
  <si>
    <t>ioensis</t>
  </si>
  <si>
    <t>rockii</t>
  </si>
  <si>
    <t>kirghisorum</t>
  </si>
  <si>
    <t>sericea</t>
  </si>
  <si>
    <t>Rosa</t>
  </si>
  <si>
    <t>xanthina</t>
  </si>
  <si>
    <t>willmottiae</t>
  </si>
  <si>
    <t>roxburghii</t>
  </si>
  <si>
    <t>rugosa</t>
  </si>
  <si>
    <t>banksiae</t>
  </si>
  <si>
    <t>arvensis</t>
  </si>
  <si>
    <t>sempervirens</t>
  </si>
  <si>
    <t>canescens</t>
  </si>
  <si>
    <t>excluded</t>
  </si>
  <si>
    <t>OXALIDACEAE</t>
  </si>
  <si>
    <t>Oxalis</t>
  </si>
  <si>
    <t>megalorrhiza</t>
  </si>
  <si>
    <t>vulcanicola</t>
  </si>
  <si>
    <t>spiralis</t>
  </si>
  <si>
    <t>eriocarpa</t>
  </si>
  <si>
    <t>AGAVACEAE</t>
  </si>
  <si>
    <t>CAPRIFOLIACEAE</t>
  </si>
  <si>
    <t>Valeriana</t>
  </si>
  <si>
    <t>pyrenaica</t>
  </si>
  <si>
    <t>tripteris</t>
  </si>
  <si>
    <t>officinalis</t>
  </si>
  <si>
    <t>Valerianella</t>
  </si>
  <si>
    <t>locusta</t>
  </si>
  <si>
    <t>microcarpa</t>
  </si>
  <si>
    <t>dentata</t>
  </si>
  <si>
    <t>coronata</t>
  </si>
  <si>
    <t>vesicaria</t>
  </si>
  <si>
    <t xml:space="preserve"> </t>
  </si>
  <si>
    <t>time scale</t>
  </si>
  <si>
    <t>SOLANACEAE</t>
  </si>
  <si>
    <t>Solanum</t>
  </si>
  <si>
    <t>etuberosum</t>
  </si>
  <si>
    <t>dulcamara</t>
  </si>
  <si>
    <t>tuberosum</t>
  </si>
  <si>
    <t>aviculare</t>
  </si>
  <si>
    <t>melongena</t>
  </si>
  <si>
    <t>abutiloides</t>
  </si>
  <si>
    <t>VITACEAE</t>
  </si>
  <si>
    <t>Vitis</t>
  </si>
  <si>
    <t>vinifera</t>
  </si>
  <si>
    <t>vulpina</t>
  </si>
  <si>
    <t>flexuosa</t>
  </si>
  <si>
    <t>riparia</t>
  </si>
  <si>
    <t>acerifolia</t>
  </si>
  <si>
    <t>aestivalis</t>
  </si>
  <si>
    <t>cinerea</t>
  </si>
  <si>
    <t>coignetiae</t>
  </si>
  <si>
    <t>betulifolia</t>
  </si>
  <si>
    <t>monticola</t>
  </si>
  <si>
    <t>rupestris</t>
  </si>
  <si>
    <t>Hordeum</t>
  </si>
  <si>
    <t>euclaston</t>
  </si>
  <si>
    <t>intercedens</t>
  </si>
  <si>
    <t>pubiflorum</t>
  </si>
  <si>
    <t>flexuosum</t>
  </si>
  <si>
    <t>patagonicum</t>
  </si>
  <si>
    <t>cordobense</t>
  </si>
  <si>
    <t>comosum</t>
  </si>
  <si>
    <t>erectifolium</t>
  </si>
  <si>
    <t>muticum</t>
  </si>
  <si>
    <t>bogdanii</t>
  </si>
  <si>
    <t>brevisubulatum-violaceum</t>
  </si>
  <si>
    <t>stenostachys</t>
  </si>
  <si>
    <t>chilense</t>
  </si>
  <si>
    <t>marinum</t>
  </si>
  <si>
    <t>bulbosum</t>
  </si>
  <si>
    <t>pusillum</t>
  </si>
  <si>
    <t>roshevitsii</t>
  </si>
  <si>
    <t>vulgare</t>
  </si>
  <si>
    <t>murinum</t>
  </si>
  <si>
    <t>Acacia</t>
  </si>
  <si>
    <t>mearnsii</t>
  </si>
  <si>
    <t>melanoxylon</t>
  </si>
  <si>
    <t>dealbata</t>
  </si>
  <si>
    <t>salicina</t>
  </si>
  <si>
    <t>orites</t>
  </si>
  <si>
    <t>falcata</t>
  </si>
  <si>
    <t>aulacocarpa</t>
  </si>
  <si>
    <t>ligulata</t>
  </si>
  <si>
    <t>pycnantha</t>
  </si>
  <si>
    <t>victoriae</t>
  </si>
  <si>
    <t>Glycine</t>
  </si>
  <si>
    <t>tomentella</t>
  </si>
  <si>
    <t>cyrtoloba</t>
  </si>
  <si>
    <t>LILIACEAE</t>
  </si>
  <si>
    <t>Lilium</t>
  </si>
  <si>
    <t>jankae</t>
  </si>
  <si>
    <t>carniolicum</t>
  </si>
  <si>
    <t>albanicum</t>
  </si>
  <si>
    <t>pyrenaicum</t>
  </si>
  <si>
    <t>bosniacum</t>
  </si>
  <si>
    <t>pomponium</t>
  </si>
  <si>
    <t>longiflorum</t>
  </si>
  <si>
    <t>candidum</t>
  </si>
  <si>
    <t>davidii</t>
  </si>
  <si>
    <t>Alpine group</t>
  </si>
  <si>
    <t>Subgenus seriphidium</t>
  </si>
  <si>
    <t>Average</t>
  </si>
  <si>
    <t>North American group</t>
  </si>
  <si>
    <t>Species</t>
  </si>
  <si>
    <t>Excluded species</t>
  </si>
  <si>
    <t>Data source</t>
  </si>
  <si>
    <t>Reference</t>
  </si>
  <si>
    <t>[1]</t>
  </si>
  <si>
    <t>References</t>
  </si>
  <si>
    <t>[2]</t>
  </si>
  <si>
    <t>[3]</t>
  </si>
  <si>
    <t>[4]</t>
  </si>
  <si>
    <t>[5]</t>
  </si>
  <si>
    <t>[6]</t>
  </si>
  <si>
    <t>[7]</t>
  </si>
  <si>
    <t>[8]</t>
  </si>
  <si>
    <t>[9]</t>
  </si>
  <si>
    <t>[10]</t>
  </si>
  <si>
    <t>[11]</t>
  </si>
  <si>
    <t>[12]</t>
  </si>
  <si>
    <t>[13]</t>
  </si>
  <si>
    <t>Notes</t>
  </si>
  <si>
    <t>ONAGRACEAE</t>
  </si>
  <si>
    <t>Fuchsia</t>
  </si>
  <si>
    <t>excorticata</t>
  </si>
  <si>
    <t>[14]</t>
  </si>
  <si>
    <t>arborescens</t>
  </si>
  <si>
    <t>fulgens</t>
  </si>
  <si>
    <t>splendens</t>
  </si>
  <si>
    <t>procumbens</t>
  </si>
  <si>
    <t>ORCHIDACEAE</t>
  </si>
  <si>
    <t>Paphiopedilum</t>
  </si>
  <si>
    <t>delenatii</t>
  </si>
  <si>
    <t>[15]</t>
  </si>
  <si>
    <t>primulinum</t>
  </si>
  <si>
    <t>wardii</t>
  </si>
  <si>
    <t>PLUMBAGINACEAE</t>
  </si>
  <si>
    <t>Limonium</t>
  </si>
  <si>
    <t>pectinatum</t>
  </si>
  <si>
    <t>[16]</t>
  </si>
  <si>
    <t>sinuatum</t>
  </si>
  <si>
    <t>fruticans</t>
  </si>
  <si>
    <t>macrophyllum</t>
  </si>
  <si>
    <t>perigrinum</t>
  </si>
  <si>
    <t>purpuratum</t>
  </si>
  <si>
    <t>The species marked as "excluded" were eliminated from the correlation analysis.</t>
  </si>
  <si>
    <t>Negatively correlated species</t>
  </si>
  <si>
    <t>Positively correlated species</t>
  </si>
  <si>
    <t>ARAUCARIACEAE</t>
  </si>
  <si>
    <t>Araucaria</t>
  </si>
  <si>
    <t>nemorosa</t>
  </si>
  <si>
    <t>scopulorum</t>
  </si>
  <si>
    <t>luxurians</t>
  </si>
  <si>
    <t>laubenfelsii</t>
  </si>
  <si>
    <t>subulata</t>
  </si>
  <si>
    <t>biramulata</t>
  </si>
  <si>
    <t>schmidii</t>
  </si>
  <si>
    <t>montana</t>
  </si>
  <si>
    <t>bernieri</t>
  </si>
  <si>
    <t>humboldtensis</t>
  </si>
  <si>
    <t>rulei</t>
  </si>
  <si>
    <t>heterophylla</t>
  </si>
  <si>
    <t>cunninghamii</t>
  </si>
  <si>
    <t>bidwillii</t>
  </si>
  <si>
    <t>angustifolia</t>
  </si>
  <si>
    <t>araucana</t>
  </si>
  <si>
    <t>hunsteinii</t>
  </si>
  <si>
    <t>muelleri</t>
  </si>
  <si>
    <t>columnaris</t>
  </si>
  <si>
    <t>[17]</t>
  </si>
  <si>
    <t>PINACEAE</t>
  </si>
  <si>
    <t>Cedrus</t>
  </si>
  <si>
    <t>brevifolia</t>
  </si>
  <si>
    <t>libani</t>
  </si>
  <si>
    <t>atlantica</t>
  </si>
  <si>
    <t>deodara</t>
  </si>
  <si>
    <t>[18]</t>
  </si>
  <si>
    <t>Picea</t>
  </si>
  <si>
    <t>omorika</t>
  </si>
  <si>
    <t>pungens</t>
  </si>
  <si>
    <t>engelmannii</t>
  </si>
  <si>
    <t>abies</t>
  </si>
  <si>
    <t>glauca</t>
  </si>
  <si>
    <t>[19]</t>
  </si>
  <si>
    <t>Pinus</t>
  </si>
  <si>
    <t>thunbergii</t>
  </si>
  <si>
    <t>contorta</t>
  </si>
  <si>
    <t>taeda</t>
  </si>
  <si>
    <t>rigida</t>
  </si>
  <si>
    <t>strobus</t>
  </si>
  <si>
    <t>wallichiana</t>
  </si>
  <si>
    <t>peuce</t>
  </si>
  <si>
    <t>koraiensis</t>
  </si>
  <si>
    <t>aristata</t>
  </si>
  <si>
    <t>balfouriana</t>
  </si>
  <si>
    <t>flexilis</t>
  </si>
  <si>
    <t>armandii</t>
  </si>
  <si>
    <t>ayacahuite</t>
  </si>
  <si>
    <t>[20]</t>
  </si>
  <si>
    <t>C-value</t>
  </si>
  <si>
    <t>phylogenetic trees.</t>
  </si>
  <si>
    <t>Mya</t>
  </si>
  <si>
    <t>Mya - millions of years (divergence time).</t>
  </si>
  <si>
    <t>ASTERACEAE</t>
  </si>
  <si>
    <t>CISTACEAE</t>
  </si>
  <si>
    <t>FABACEAE</t>
  </si>
  <si>
    <t>POACEAE</t>
  </si>
  <si>
    <t>C-value - genome size, pg</t>
  </si>
  <si>
    <t>ARACEAE</t>
  </si>
  <si>
    <t>Anthurium</t>
  </si>
  <si>
    <t>obtusum</t>
  </si>
  <si>
    <t>bakeri</t>
  </si>
  <si>
    <t>leuconeurum</t>
  </si>
  <si>
    <t>gracile</t>
  </si>
  <si>
    <t>microspadix</t>
  </si>
  <si>
    <t>wendlingeri</t>
  </si>
  <si>
    <t>coriaceum</t>
  </si>
  <si>
    <t>lucens</t>
  </si>
  <si>
    <t>clidemioides</t>
  </si>
  <si>
    <t>[21]</t>
  </si>
  <si>
    <t>as published</t>
  </si>
  <si>
    <t xml:space="preserve">"As published" and "time scale" stand for the divergence times directly available from the corresponding </t>
  </si>
  <si>
    <t xml:space="preserve">publications or otherwise based on the published divergence time scales represented in calibrated </t>
  </si>
  <si>
    <t>Since data on the evolutionary age of the lineages (not individual species) for the genus Arthemisis are publicly available,  c-value averages of several species were used.</t>
  </si>
  <si>
    <t>Supplementary Table S1: Species, their c-values and divergence times</t>
  </si>
  <si>
    <t>Bliss B.J., Suzuki J.Y. Genome size in Anthurium evaluated in the context of karyotypes and phenotypes. AoB Plants. 2012. pls006. doi: 10.1093/aobpla/pls006.</t>
  </si>
  <si>
    <t xml:space="preserve">Sanz M., Schneeweiss G.M., Vilatersana R., Vallès J. Temporal origins and diversification of Artemisia and allies (Anthemideae, Asteraceae). Collectanea Botanica. 2011. V. 30. P. 7-15. </t>
  </si>
  <si>
    <t>Guzmán B., Lledó M.D., Vargas P. Adaptive Radiation in Mediterranean Cistus (Cistaceae). PLoS One. 2009. V.  4. P. e6362. doi: 10.1371/journal.pone.0006362.</t>
  </si>
  <si>
    <t>McLeish M.J., Miller J.T., Mound L.A. Delayed colonisation of Acacia by thrips and the timing of host-conservatism and behavioural specialization. BMC Evol. Biol. 2013. V. 13. P. 188. doi: 10.1186/1471-2148-13-188.</t>
  </si>
  <si>
    <t>Sherman-Broyles S., Bombarely A., Grimwood J., Schmutz J., Doyle J. Complete Plastome Sequences from Glycine syndetika and Six Additional Perennial Wild Relatives of Soybean. G3 (Bethesda). 2014. V. 4. P. 2023-33. doi: 10.1534/g3.114.012690 .</t>
  </si>
  <si>
    <t>1. Ikinci N. Molecular phylogeny and divergence times estimates of Lilium section Liriotypus (Liliaceae) based on plastid and nuclear ribosomal ITS DNA sequence data. Turk J. Bot. 2011. V. 35. P. 319-330. doi:10.3906/bot-1003-29 .</t>
  </si>
  <si>
    <t>1. Berry P.E., Hahn W.J., Sytsma K.J., Hall J.C., Mast A.  Phylogenetic relationships and biogeography of Fuchsia (Onagraceae) based on noncoding nuclear and chloroplast DNA data. American Journal of Botany. 2004. V. 91. P. 601–614.</t>
  </si>
  <si>
    <t>Guo Y.Y., Luo Y.B., Liu Z.J., Wang X.Q. Evolution and Biogeography of the Slipper Orchids: Eocene Vicariance of the Conduplicate Genera in the Old and New World Tropics. PLOSone. 2012. V. 7. N 6. P. e38788. doi: 10.1371/journal.pone.0038788.</t>
  </si>
  <si>
    <t>Blattner F.R., Pleines T., Jakob S.S. Rapid Radiation in the Barley Genus Hordeum (Poaceae) During the Pleistocene in the Americas.  Evolution in Action. Ed M. Glaubrecht. Springer, 2010. P. 17-33.  doi: 10.1007/978-3-642-12425-9_2.</t>
  </si>
  <si>
    <t xml:space="preserve"> Fougère-Danezan M., Joly S., Bruneau A., Gao X.F., Zhang L.B. Phylogeny and biogeography of wild roses with specific attention to polyploids. Ann. Bot. 2015. V. 115. P. 275–291. doi: 10.1093/aob/mcu245.</t>
  </si>
  <si>
    <t>Poczai P. Molecular Genetic Studies on Complex Evolutionary Processes in Archaesolanum (Solanum, Solanaceae). PhD thesis, University of Pannonia, Hungary. 2011. http://konyvtar.uni-pannon.hu/doktori/2011/Poczai_Peter_dissertation.pdf</t>
  </si>
  <si>
    <t>Wan Y., Schwaninger H.R., Baldo A.M., Labate J.A., Zhong G.-Y., Simon C.J. A phylogenetic analysis of the grape genus (Vitis L.) reveals broad reticulation and concurrent diversification during neogene and quaternary climate change. BMC Evolutionary Biology. 2013. V. 13. P. 141. doi: 10.1186/1471-2148-13-141</t>
  </si>
  <si>
    <t>Kranitz M.L., Biffin E., Clark A., Hollingsworth M.L., Ruhsam M., Gardner M.F., et al. Evolutionary Diversification of New Caledonian Araucaria. PLoS One. 2014. V. 29. N 10. P. e110308. doi: 10.1371/journal.pone.0110308</t>
  </si>
  <si>
    <t>Qiao C.-Y., Ran J.H.,  Li Y., Wang X.Q. Phylogeny and Biogeography of Cedrus (Pinaceae) Inferred from Sequences of Seven Paternal Chloroplast and Maternal Mitochondrial DNA Regions. Ann. Bot.  2007. V. 100. P. 573–580.</t>
  </si>
  <si>
    <t>Wang B. Hybridization and Evolution in the Genus Pinus. PhD thesis, Umeå University, Sweden. 2013. https://www.diva-portal.org/smash/get/diva2:652236/FULLTEXT01.pdf</t>
  </si>
  <si>
    <t>Good-Avila S.V.  Timing and rate of speciation in Agave (Agavaceae). Proc Natl Acad. Sci. USA. 2006. V. 103. P. 9124–9129.</t>
  </si>
  <si>
    <t>Moore B.R., Donoghue M.J.  Correlates of diversification in the plant clade Dipsacales: geographic movement and evolutionary innovations. Am. Nat. 2007. V. 170. Suppl 2. P. S28-55. doi: 10.1086/519460</t>
  </si>
  <si>
    <t>Heibl C., Renner S.S. Distribution models and a dated phylogeny for Chilean Oxalis species reveal occupation of new habitats by different lineages, not rapid adaptive radiation. Syst. Biol. 2012. V.  61. N 5. P. 823-34. doi: 10.1093/sysbio/sys034</t>
  </si>
  <si>
    <t xml:space="preserve">Lledó M.D. Molecular phylogenetics of Limonium and related genera (Plumbaginaceae): biogeographical and systematic implications. Am. J. Bot. 2005. V. 92. N 7. P. 1189-98. </t>
  </si>
  <si>
    <t>Lo E.Y.Y., Donoghue M.J.  Expanded phylogenetic and dating analyses of the apples and their relatives (Pyreae, Rosaceae). Molecular Phylogenetics and Evolution. 2012. V. 63. P. 230–243. doi: 10.1016/j.ympev.2011.10.005</t>
  </si>
  <si>
    <t>Lockwood J.D., Aleksić J.M., Zou J., Wang J., Liu J., Renner S.S. A new phylogeny for the genus Picea from plastid, mitochondrial, and nuclear sequences. Molecular Phylogenetics and Evolution. 2013. V. 69. P. 717-727. doi: 10.1016/j.ympev.2013.07.004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</si>
</sst>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i/>
      <sz val="11"/>
      <color theme="1"/>
      <name val="Calibri"/>
      <family val="2"/>
      <charset val="204"/>
      <scheme val="minor"/>
    </font>
    <font>
      <b/>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b/>
      <sz val="14"/>
      <color theme="1"/>
      <name val="Times New Roman"/>
      <family val="1"/>
    </font>
    <font>
      <sz val="12"/>
      <color theme="1"/>
      <name val="Times New Roman"/>
      <family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0" fillId="0" borderId="0" xfId="0" applyFill="1"/>
    <xf numFmtId="0" fontId="1" fillId="0" borderId="0" xfId="0" applyFont="1"/>
    <xf numFmtId="0" fontId="0" fillId="0" borderId="0" xfId="0"/>
    <xf numFmtId="0" fontId="0" fillId="0" borderId="0" xfId="0" applyFont="1"/>
    <xf numFmtId="0" fontId="2" fillId="0" borderId="0" xfId="0" applyFont="1"/>
    <xf numFmtId="0" fontId="2" fillId="0" borderId="0" xfId="0" applyFont="1" applyFill="1"/>
    <xf numFmtId="0" fontId="0" fillId="0" borderId="0" xfId="0" applyAlignment="1"/>
    <xf numFmtId="0" fontId="3"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xf numFmtId="0" fontId="5" fillId="0" borderId="0" xfId="0" applyFont="1"/>
    <xf numFmtId="0" fontId="5" fillId="0" borderId="0" xfId="0" applyFont="1" applyAlignment="1">
      <alignment horizontal="left"/>
    </xf>
    <xf numFmtId="0" fontId="0" fillId="0" borderId="0" xfId="0" applyBorder="1" applyAlignment="1">
      <alignment horizontal="center" vertical="center"/>
    </xf>
    <xf numFmtId="0" fontId="0" fillId="0" borderId="0" xfId="0" applyBorder="1" applyAlignment="1">
      <alignment horizontal="center" wrapText="1"/>
    </xf>
    <xf numFmtId="0" fontId="2" fillId="0" borderId="0" xfId="0" applyFont="1" applyBorder="1" applyAlignment="1">
      <alignment horizontal="left" vertical="center"/>
    </xf>
    <xf numFmtId="2" fontId="0" fillId="0" borderId="0" xfId="0" applyNumberFormat="1"/>
    <xf numFmtId="0" fontId="1" fillId="0" borderId="0" xfId="0" applyFont="1" applyAlignment="1">
      <alignment horizontal="center"/>
    </xf>
    <xf numFmtId="0" fontId="0" fillId="0" borderId="0" xfId="0" applyFont="1" applyBorder="1" applyAlignment="1">
      <alignment horizontal="left" vertical="center"/>
    </xf>
    <xf numFmtId="0" fontId="0" fillId="0" borderId="0" xfId="0" applyAlignment="1">
      <alignment horizontal="left"/>
    </xf>
    <xf numFmtId="0" fontId="0" fillId="0" borderId="0" xfId="0"/>
    <xf numFmtId="0" fontId="0" fillId="0" borderId="0" xfId="0"/>
    <xf numFmtId="0" fontId="0" fillId="0" borderId="0" xfId="0"/>
    <xf numFmtId="0" fontId="1" fillId="0" borderId="0" xfId="0" applyFont="1" applyBorder="1" applyAlignment="1">
      <alignment horizontal="center" vertical="center"/>
    </xf>
    <xf numFmtId="0" fontId="1" fillId="0" borderId="0" xfId="0" applyFont="1" applyFill="1"/>
    <xf numFmtId="164" fontId="0" fillId="0" borderId="0" xfId="0" applyNumberFormat="1"/>
    <xf numFmtId="0" fontId="6" fillId="0" borderId="0" xfId="0" applyFont="1" applyAlignment="1">
      <alignment horizontal="center"/>
    </xf>
    <xf numFmtId="0" fontId="0" fillId="0" borderId="0" xfId="0" applyAlignment="1">
      <alignment horizontal="center"/>
    </xf>
    <xf numFmtId="0" fontId="2" fillId="0" borderId="6" xfId="0" applyFont="1" applyBorder="1" applyAlignment="1">
      <alignment horizontal="center" vertical="center"/>
    </xf>
    <xf numFmtId="0" fontId="0" fillId="0" borderId="2" xfId="0" applyBorder="1" applyAlignment="1">
      <alignment horizontal="center" vertical="center"/>
    </xf>
    <xf numFmtId="0" fontId="2" fillId="0" borderId="5" xfId="0" applyFont="1" applyBorder="1" applyAlignment="1">
      <alignment horizontal="center" wrapText="1"/>
    </xf>
    <xf numFmtId="0" fontId="0" fillId="0" borderId="3" xfId="0" applyBorder="1" applyAlignment="1">
      <alignment horizontal="center" wrapText="1"/>
    </xf>
    <xf numFmtId="0" fontId="2" fillId="0" borderId="4" xfId="0" applyFont="1" applyBorder="1" applyAlignment="1">
      <alignment horizontal="center" wrapText="1"/>
    </xf>
    <xf numFmtId="0" fontId="0" fillId="0" borderId="1" xfId="0" applyBorder="1" applyAlignment="1">
      <alignment horizontal="center" wrapText="1"/>
    </xf>
    <xf numFmtId="0" fontId="2" fillId="0" borderId="4" xfId="0" applyFont="1" applyBorder="1" applyAlignment="1">
      <alignment horizontal="center" vertical="center"/>
    </xf>
    <xf numFmtId="0" fontId="0" fillId="0" borderId="1" xfId="0" applyBorder="1" applyAlignment="1">
      <alignment horizontal="center" vertical="center"/>
    </xf>
    <xf numFmtId="0" fontId="2" fillId="0" borderId="5" xfId="0" applyFont="1" applyBorder="1" applyAlignment="1">
      <alignment horizontal="center" vertical="center"/>
    </xf>
    <xf numFmtId="0" fontId="0" fillId="0" borderId="3" xfId="0" applyBorder="1" applyAlignment="1">
      <alignment horizontal="center" vertical="center"/>
    </xf>
    <xf numFmtId="0" fontId="7"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0"/>
  <sheetViews>
    <sheetView tabSelected="1" workbookViewId="0">
      <selection activeCell="S55" sqref="S55"/>
    </sheetView>
  </sheetViews>
  <sheetFormatPr defaultRowHeight="15" x14ac:dyDescent="0.25"/>
  <cols>
    <col min="1" max="1" width="15.28515625" customWidth="1"/>
    <col min="2" max="2" width="9.5703125" customWidth="1"/>
    <col min="3" max="3" width="12" customWidth="1"/>
    <col min="4" max="4" width="7.5703125" customWidth="1"/>
    <col min="5" max="5" width="6.85546875" customWidth="1"/>
    <col min="7" max="7" width="12.28515625" style="9" customWidth="1"/>
    <col min="8" max="8" width="8.85546875" style="9"/>
  </cols>
  <sheetData>
    <row r="1" spans="1:22" s="23" customFormat="1" ht="18.75" x14ac:dyDescent="0.3">
      <c r="A1" s="27" t="s">
        <v>300</v>
      </c>
      <c r="B1" s="28"/>
      <c r="C1" s="28"/>
      <c r="D1" s="28"/>
      <c r="E1" s="28"/>
      <c r="F1" s="28"/>
      <c r="G1" s="28"/>
      <c r="H1" s="28"/>
      <c r="I1" s="28"/>
      <c r="J1" s="28"/>
      <c r="K1" s="28"/>
      <c r="L1" s="28"/>
      <c r="M1" s="28"/>
      <c r="N1" s="28"/>
      <c r="O1" s="28"/>
      <c r="P1" s="28"/>
      <c r="Q1" s="28"/>
      <c r="R1" s="28"/>
      <c r="S1" s="28"/>
    </row>
    <row r="2" spans="1:22" s="3" customFormat="1" x14ac:dyDescent="0.25">
      <c r="A2" s="5"/>
      <c r="G2" s="9"/>
      <c r="H2" s="9"/>
    </row>
    <row r="3" spans="1:22" s="3" customFormat="1" ht="15.75" x14ac:dyDescent="0.25">
      <c r="A3" s="35" t="s">
        <v>39</v>
      </c>
      <c r="B3" s="37" t="s">
        <v>38</v>
      </c>
      <c r="C3" s="35" t="s">
        <v>179</v>
      </c>
      <c r="D3" s="37" t="s">
        <v>275</v>
      </c>
      <c r="E3" s="35" t="s">
        <v>277</v>
      </c>
      <c r="F3" s="31" t="s">
        <v>180</v>
      </c>
      <c r="G3" s="33" t="s">
        <v>181</v>
      </c>
      <c r="H3" s="29" t="s">
        <v>182</v>
      </c>
      <c r="J3" s="11" t="s">
        <v>197</v>
      </c>
      <c r="K3" s="12"/>
    </row>
    <row r="4" spans="1:22" ht="15.75" x14ac:dyDescent="0.25">
      <c r="A4" s="36"/>
      <c r="B4" s="38"/>
      <c r="C4" s="36"/>
      <c r="D4" s="38"/>
      <c r="E4" s="38"/>
      <c r="F4" s="32"/>
      <c r="G4" s="34"/>
      <c r="H4" s="30"/>
      <c r="J4" s="13" t="s">
        <v>221</v>
      </c>
      <c r="K4" s="12"/>
      <c r="L4" s="3"/>
      <c r="M4" s="3"/>
    </row>
    <row r="5" spans="1:22" s="3" customFormat="1" ht="15.75" x14ac:dyDescent="0.25">
      <c r="A5" s="14"/>
      <c r="B5" s="14"/>
      <c r="C5" s="14"/>
      <c r="D5" s="14"/>
      <c r="E5" s="14"/>
      <c r="F5" s="15"/>
      <c r="G5" s="15"/>
      <c r="H5" s="14"/>
      <c r="J5" s="12" t="s">
        <v>297</v>
      </c>
      <c r="K5" s="12"/>
    </row>
    <row r="6" spans="1:22" ht="15.75" x14ac:dyDescent="0.25">
      <c r="A6" s="16" t="s">
        <v>223</v>
      </c>
      <c r="B6" s="14"/>
      <c r="C6" s="14"/>
      <c r="D6" s="14"/>
      <c r="E6" s="14"/>
      <c r="F6" s="15"/>
      <c r="G6" s="15"/>
      <c r="H6" s="14"/>
      <c r="I6" s="3"/>
      <c r="J6" s="12" t="s">
        <v>298</v>
      </c>
      <c r="K6" s="12"/>
      <c r="L6" s="3"/>
      <c r="M6" s="3"/>
      <c r="N6" s="3"/>
      <c r="O6" s="3"/>
      <c r="P6" s="3"/>
      <c r="Q6" s="3"/>
      <c r="R6" s="3"/>
      <c r="S6" s="3"/>
    </row>
    <row r="7" spans="1:22" ht="15.75" x14ac:dyDescent="0.25">
      <c r="A7" s="16"/>
      <c r="B7" s="14"/>
      <c r="C7" s="14"/>
      <c r="D7" s="14"/>
      <c r="E7" s="14"/>
      <c r="F7" s="15"/>
      <c r="G7" s="15"/>
      <c r="H7" s="14"/>
      <c r="I7" s="3"/>
      <c r="J7" s="12" t="s">
        <v>276</v>
      </c>
      <c r="K7" s="12"/>
      <c r="L7" s="3"/>
      <c r="M7" s="3"/>
      <c r="N7" s="3"/>
      <c r="O7" s="3"/>
      <c r="P7" s="3"/>
      <c r="Q7" s="3"/>
      <c r="R7" s="3"/>
      <c r="S7" s="3"/>
      <c r="T7" s="3"/>
    </row>
    <row r="8" spans="1:22" s="3" customFormat="1" ht="15.75" x14ac:dyDescent="0.25">
      <c r="A8" s="19" t="s">
        <v>284</v>
      </c>
      <c r="B8" s="24" t="s">
        <v>285</v>
      </c>
      <c r="C8" s="2" t="s">
        <v>286</v>
      </c>
      <c r="D8" s="22">
        <v>2.56</v>
      </c>
      <c r="E8" s="23">
        <v>1</v>
      </c>
      <c r="F8" s="15"/>
      <c r="G8" s="9" t="s">
        <v>108</v>
      </c>
      <c r="H8" s="14" t="s">
        <v>183</v>
      </c>
      <c r="J8" s="12" t="s">
        <v>299</v>
      </c>
      <c r="K8" s="12"/>
      <c r="M8"/>
      <c r="N8"/>
      <c r="O8"/>
      <c r="P8"/>
      <c r="Q8"/>
      <c r="R8"/>
      <c r="S8"/>
      <c r="T8"/>
    </row>
    <row r="9" spans="1:22" s="3" customFormat="1" ht="15.75" x14ac:dyDescent="0.25">
      <c r="A9" s="19" t="s">
        <v>284</v>
      </c>
      <c r="B9" s="24" t="s">
        <v>285</v>
      </c>
      <c r="C9" s="2" t="s">
        <v>287</v>
      </c>
      <c r="D9" s="22">
        <v>4.6399999999999997</v>
      </c>
      <c r="E9" s="23">
        <v>2</v>
      </c>
      <c r="F9" s="15"/>
      <c r="G9" s="15"/>
      <c r="H9" s="14"/>
      <c r="J9" s="12" t="s">
        <v>278</v>
      </c>
      <c r="K9" s="12"/>
      <c r="U9"/>
      <c r="V9"/>
    </row>
    <row r="10" spans="1:22" ht="15.75" x14ac:dyDescent="0.25">
      <c r="A10" s="19" t="s">
        <v>284</v>
      </c>
      <c r="B10" s="24" t="s">
        <v>285</v>
      </c>
      <c r="C10" s="2" t="s">
        <v>288</v>
      </c>
      <c r="D10" s="22">
        <v>7.18</v>
      </c>
      <c r="E10" s="23">
        <v>2</v>
      </c>
      <c r="F10" s="15"/>
      <c r="G10" s="15"/>
      <c r="H10" s="14"/>
      <c r="I10" s="3"/>
      <c r="J10" s="12" t="s">
        <v>283</v>
      </c>
      <c r="K10" s="12"/>
      <c r="L10" s="3"/>
      <c r="M10" s="3"/>
      <c r="N10" s="3"/>
      <c r="O10" s="3"/>
      <c r="P10" s="3"/>
      <c r="Q10" s="3"/>
      <c r="R10" s="3"/>
      <c r="S10" s="3"/>
      <c r="T10" s="3"/>
      <c r="U10" s="3"/>
      <c r="V10" s="3"/>
    </row>
    <row r="11" spans="1:22" ht="15.75" x14ac:dyDescent="0.25">
      <c r="A11" s="19" t="s">
        <v>284</v>
      </c>
      <c r="B11" s="24" t="s">
        <v>285</v>
      </c>
      <c r="C11" s="2" t="s">
        <v>289</v>
      </c>
      <c r="D11" s="22">
        <v>6.19</v>
      </c>
      <c r="E11" s="23">
        <v>2.5</v>
      </c>
      <c r="F11" s="15"/>
      <c r="G11" s="15"/>
      <c r="H11" s="14"/>
      <c r="I11" s="3"/>
      <c r="J11" s="12"/>
      <c r="K11" s="12"/>
      <c r="L11" s="3"/>
      <c r="M11" s="3"/>
      <c r="N11" s="3"/>
      <c r="O11" s="3"/>
      <c r="P11" s="3"/>
      <c r="Q11" s="3"/>
      <c r="R11" s="3"/>
      <c r="S11" s="3"/>
      <c r="U11" s="3"/>
      <c r="V11" s="3"/>
    </row>
    <row r="12" spans="1:22" s="3" customFormat="1" ht="15.75" x14ac:dyDescent="0.25">
      <c r="A12" s="19" t="s">
        <v>284</v>
      </c>
      <c r="B12" s="24" t="s">
        <v>285</v>
      </c>
      <c r="C12" s="2" t="s">
        <v>290</v>
      </c>
      <c r="D12" s="22">
        <v>6.13</v>
      </c>
      <c r="E12" s="23">
        <v>2.5</v>
      </c>
      <c r="F12" s="15"/>
      <c r="G12" s="15"/>
      <c r="H12" s="14"/>
      <c r="J12" s="11" t="s">
        <v>184</v>
      </c>
      <c r="K12" s="12"/>
      <c r="M12"/>
      <c r="T12"/>
      <c r="V12"/>
    </row>
    <row r="13" spans="1:22" s="3" customFormat="1" ht="15.75" x14ac:dyDescent="0.25">
      <c r="A13" s="19" t="s">
        <v>284</v>
      </c>
      <c r="B13" s="24" t="s">
        <v>285</v>
      </c>
      <c r="C13" s="2" t="s">
        <v>291</v>
      </c>
      <c r="D13" s="22">
        <v>3.73</v>
      </c>
      <c r="E13" s="23">
        <v>2.75</v>
      </c>
      <c r="F13" s="15"/>
      <c r="G13" s="15"/>
      <c r="H13" s="14"/>
      <c r="J13" s="39">
        <v>1</v>
      </c>
      <c r="K13" s="39" t="s">
        <v>301</v>
      </c>
      <c r="L13" s="23"/>
      <c r="P13"/>
      <c r="Q13"/>
      <c r="S13"/>
      <c r="T13"/>
    </row>
    <row r="14" spans="1:22" ht="15.75" x14ac:dyDescent="0.25">
      <c r="A14" s="19" t="s">
        <v>284</v>
      </c>
      <c r="B14" s="24" t="s">
        <v>285</v>
      </c>
      <c r="C14" s="2" t="s">
        <v>292</v>
      </c>
      <c r="D14" s="22">
        <v>7.16</v>
      </c>
      <c r="E14" s="23">
        <v>3.25</v>
      </c>
      <c r="F14" s="15"/>
      <c r="G14" s="15"/>
      <c r="H14" s="14"/>
      <c r="I14" s="3"/>
      <c r="J14" s="39"/>
      <c r="K14" s="39"/>
      <c r="L14" s="23"/>
      <c r="R14" s="3"/>
    </row>
    <row r="15" spans="1:22" ht="15.75" x14ac:dyDescent="0.25">
      <c r="A15" s="19" t="s">
        <v>284</v>
      </c>
      <c r="B15" s="24" t="s">
        <v>285</v>
      </c>
      <c r="C15" s="2" t="s">
        <v>293</v>
      </c>
      <c r="D15" s="22">
        <v>6.52</v>
      </c>
      <c r="E15" s="23">
        <v>3.75</v>
      </c>
      <c r="F15" s="15"/>
      <c r="G15" s="15"/>
      <c r="H15" s="14"/>
      <c r="I15" s="3"/>
      <c r="J15" s="39">
        <v>2</v>
      </c>
      <c r="K15" s="39" t="s">
        <v>302</v>
      </c>
      <c r="L15" s="23"/>
      <c r="P15" s="3"/>
      <c r="Q15" s="3"/>
    </row>
    <row r="16" spans="1:22" ht="15.75" x14ac:dyDescent="0.25">
      <c r="A16" s="19" t="s">
        <v>284</v>
      </c>
      <c r="B16" s="24" t="s">
        <v>285</v>
      </c>
      <c r="C16" s="25" t="s">
        <v>294</v>
      </c>
      <c r="D16" s="1">
        <v>4.59</v>
      </c>
      <c r="E16" s="23">
        <v>11.5</v>
      </c>
      <c r="F16" s="23" t="s">
        <v>88</v>
      </c>
      <c r="G16" s="15"/>
      <c r="H16" s="14"/>
      <c r="I16" s="21"/>
      <c r="J16" s="39"/>
      <c r="K16" s="39"/>
      <c r="L16" s="23"/>
      <c r="M16" s="3"/>
      <c r="N16" s="3"/>
      <c r="O16" s="3"/>
      <c r="P16" s="3"/>
      <c r="Q16" s="3"/>
      <c r="T16" s="3"/>
    </row>
    <row r="17" spans="1:20" ht="15.75" x14ac:dyDescent="0.25">
      <c r="A17" s="19"/>
      <c r="B17" s="14"/>
      <c r="C17" s="1"/>
      <c r="D17" s="1"/>
      <c r="E17" s="23"/>
      <c r="F17" s="23"/>
      <c r="G17" s="15"/>
      <c r="H17" s="14"/>
      <c r="I17" s="23"/>
      <c r="J17" s="39">
        <v>3</v>
      </c>
      <c r="K17" s="39" t="s">
        <v>303</v>
      </c>
      <c r="L17" s="23"/>
      <c r="M17" s="3"/>
      <c r="N17" s="3"/>
      <c r="O17" s="3"/>
      <c r="S17" s="3"/>
      <c r="T17" s="3"/>
    </row>
    <row r="18" spans="1:20" s="3" customFormat="1" ht="15.75" x14ac:dyDescent="0.25">
      <c r="A18" s="5" t="s">
        <v>175</v>
      </c>
      <c r="C18"/>
      <c r="G18" s="9"/>
      <c r="H18" s="9"/>
      <c r="J18" s="39"/>
      <c r="K18" s="39"/>
      <c r="L18" s="23"/>
      <c r="M18"/>
      <c r="N18"/>
      <c r="O18"/>
      <c r="P18"/>
      <c r="Q18"/>
      <c r="R18"/>
      <c r="T18"/>
    </row>
    <row r="19" spans="1:20" s="3" customFormat="1" ht="15.75" x14ac:dyDescent="0.25">
      <c r="A19" s="4" t="s">
        <v>279</v>
      </c>
      <c r="B19" s="2" t="s">
        <v>0</v>
      </c>
      <c r="C19" s="25" t="s">
        <v>6</v>
      </c>
      <c r="D19" s="3">
        <v>2.98</v>
      </c>
      <c r="E19"/>
      <c r="F19"/>
      <c r="G19" s="20" t="s">
        <v>296</v>
      </c>
      <c r="H19" s="8" t="s">
        <v>185</v>
      </c>
      <c r="J19" s="39">
        <v>4</v>
      </c>
      <c r="K19" s="39" t="s">
        <v>304</v>
      </c>
      <c r="L19" s="23"/>
      <c r="M19"/>
      <c r="N19"/>
      <c r="O19"/>
      <c r="P19"/>
      <c r="Q19"/>
      <c r="S19"/>
      <c r="T19"/>
    </row>
    <row r="20" spans="1:20" ht="15.75" x14ac:dyDescent="0.25">
      <c r="A20" s="4" t="s">
        <v>279</v>
      </c>
      <c r="B20" s="2" t="s">
        <v>0</v>
      </c>
      <c r="C20" s="25" t="s">
        <v>8</v>
      </c>
      <c r="D20" s="3">
        <v>4.26</v>
      </c>
      <c r="H20" s="18"/>
      <c r="J20" s="39"/>
      <c r="K20" s="39" t="s">
        <v>107</v>
      </c>
      <c r="L20" s="23"/>
      <c r="R20" s="3"/>
    </row>
    <row r="21" spans="1:20" ht="15.75" x14ac:dyDescent="0.25">
      <c r="A21" s="4"/>
      <c r="B21" s="3"/>
      <c r="C21" s="6" t="s">
        <v>177</v>
      </c>
      <c r="D21" s="3">
        <f>AVERAGE(D19:D20)</f>
        <v>3.62</v>
      </c>
      <c r="E21" s="3">
        <v>5.8</v>
      </c>
      <c r="F21" s="3"/>
      <c r="H21" s="18"/>
      <c r="I21" s="3"/>
      <c r="J21" s="39">
        <v>5</v>
      </c>
      <c r="K21" s="39" t="s">
        <v>305</v>
      </c>
      <c r="L21" s="23"/>
      <c r="P21" s="3"/>
      <c r="Q21" s="3"/>
      <c r="T21" s="3"/>
    </row>
    <row r="22" spans="1:20" ht="15.75" x14ac:dyDescent="0.25">
      <c r="A22" s="5" t="s">
        <v>11</v>
      </c>
      <c r="B22" s="3"/>
      <c r="C22" s="1"/>
      <c r="D22" s="3"/>
      <c r="E22" s="3"/>
      <c r="F22" s="3"/>
      <c r="H22" s="18"/>
      <c r="I22" s="3"/>
      <c r="J22" s="39"/>
      <c r="K22" s="39"/>
      <c r="L22" s="23"/>
      <c r="M22" s="3"/>
      <c r="N22" s="3"/>
      <c r="O22" s="3"/>
      <c r="P22" s="3"/>
      <c r="Q22" s="3"/>
      <c r="S22" s="3"/>
      <c r="T22" s="3"/>
    </row>
    <row r="23" spans="1:20" s="3" customFormat="1" ht="15.75" x14ac:dyDescent="0.25">
      <c r="A23" s="4" t="s">
        <v>279</v>
      </c>
      <c r="B23" s="2" t="s">
        <v>0</v>
      </c>
      <c r="C23" s="25" t="s">
        <v>10</v>
      </c>
      <c r="D23" s="3">
        <v>3.09</v>
      </c>
      <c r="E23"/>
      <c r="G23" s="9"/>
      <c r="H23" s="18"/>
      <c r="J23" s="39">
        <v>6</v>
      </c>
      <c r="K23" s="39" t="s">
        <v>306</v>
      </c>
      <c r="L23" s="23"/>
      <c r="P23"/>
      <c r="Q23"/>
      <c r="R23"/>
      <c r="T23"/>
    </row>
    <row r="24" spans="1:20" s="3" customFormat="1" ht="15.75" x14ac:dyDescent="0.25">
      <c r="A24" s="4" t="s">
        <v>279</v>
      </c>
      <c r="B24" s="2" t="s">
        <v>0</v>
      </c>
      <c r="C24" s="25" t="s">
        <v>13</v>
      </c>
      <c r="D24" s="3">
        <v>3.65</v>
      </c>
      <c r="E24"/>
      <c r="G24" s="9"/>
      <c r="H24" s="18"/>
      <c r="J24" s="39"/>
      <c r="K24" s="39"/>
      <c r="L24" s="23"/>
      <c r="M24"/>
      <c r="N24"/>
      <c r="O24"/>
      <c r="P24"/>
      <c r="Q24"/>
      <c r="S24"/>
      <c r="T24"/>
    </row>
    <row r="25" spans="1:20" ht="15.75" x14ac:dyDescent="0.25">
      <c r="A25" s="4"/>
      <c r="B25" s="3"/>
      <c r="C25" s="6" t="s">
        <v>177</v>
      </c>
      <c r="D25" s="3">
        <f>AVERAGE(D23:D24)</f>
        <v>3.37</v>
      </c>
      <c r="E25" s="3">
        <v>5.9</v>
      </c>
      <c r="F25" s="3"/>
      <c r="H25" s="18"/>
      <c r="I25" s="3"/>
      <c r="J25" s="39">
        <v>7</v>
      </c>
      <c r="K25" s="39" t="s">
        <v>307</v>
      </c>
      <c r="L25" s="23"/>
      <c r="R25" s="3"/>
    </row>
    <row r="26" spans="1:20" ht="15.75" x14ac:dyDescent="0.25">
      <c r="A26" s="5" t="s">
        <v>176</v>
      </c>
      <c r="B26" s="3"/>
      <c r="C26" s="1"/>
      <c r="D26" s="3"/>
      <c r="E26" s="3"/>
      <c r="F26" s="3"/>
      <c r="I26" s="3"/>
      <c r="J26" s="39"/>
      <c r="K26" s="39" t="s">
        <v>107</v>
      </c>
      <c r="L26" s="23"/>
      <c r="P26" s="3"/>
      <c r="Q26" s="3"/>
    </row>
    <row r="27" spans="1:20" ht="15.75" x14ac:dyDescent="0.25">
      <c r="A27" s="4" t="s">
        <v>279</v>
      </c>
      <c r="B27" s="2" t="s">
        <v>0</v>
      </c>
      <c r="C27" s="25" t="s">
        <v>15</v>
      </c>
      <c r="D27" s="3">
        <v>2.31</v>
      </c>
      <c r="F27" s="3"/>
      <c r="I27" s="3"/>
      <c r="J27" s="39">
        <v>8</v>
      </c>
      <c r="K27" s="39" t="s">
        <v>308</v>
      </c>
      <c r="L27" s="23"/>
      <c r="M27" s="3"/>
      <c r="N27" s="3"/>
      <c r="O27" s="3"/>
      <c r="P27" s="3"/>
      <c r="Q27" s="3"/>
      <c r="T27" s="3"/>
    </row>
    <row r="28" spans="1:20" ht="15.75" x14ac:dyDescent="0.25">
      <c r="A28" s="4" t="s">
        <v>279</v>
      </c>
      <c r="B28" s="2" t="s">
        <v>0</v>
      </c>
      <c r="C28" s="25" t="s">
        <v>17</v>
      </c>
      <c r="D28" s="3">
        <v>2.68</v>
      </c>
      <c r="F28" s="3"/>
      <c r="I28" s="3"/>
      <c r="J28" s="39"/>
      <c r="K28" s="39" t="s">
        <v>107</v>
      </c>
      <c r="L28" s="23"/>
      <c r="M28" s="3"/>
      <c r="N28" s="3"/>
      <c r="O28" s="3"/>
      <c r="S28" s="3"/>
      <c r="T28" s="3"/>
    </row>
    <row r="29" spans="1:20" s="3" customFormat="1" ht="15.75" x14ac:dyDescent="0.25">
      <c r="A29" s="4" t="s">
        <v>279</v>
      </c>
      <c r="B29" s="2" t="s">
        <v>0</v>
      </c>
      <c r="C29" s="25" t="s">
        <v>19</v>
      </c>
      <c r="D29" s="3">
        <v>3.29</v>
      </c>
      <c r="G29" s="9"/>
      <c r="H29" s="9"/>
      <c r="J29" s="39">
        <v>9</v>
      </c>
      <c r="K29" s="39" t="s">
        <v>309</v>
      </c>
      <c r="L29" s="23"/>
      <c r="M29"/>
      <c r="N29"/>
      <c r="O29"/>
      <c r="P29"/>
      <c r="Q29"/>
      <c r="R29"/>
      <c r="T29"/>
    </row>
    <row r="30" spans="1:20" s="3" customFormat="1" ht="15.75" x14ac:dyDescent="0.25">
      <c r="A30" s="4" t="s">
        <v>279</v>
      </c>
      <c r="B30" s="2" t="s">
        <v>0</v>
      </c>
      <c r="C30" s="25" t="s">
        <v>21</v>
      </c>
      <c r="D30" s="3">
        <v>3.33</v>
      </c>
      <c r="G30" s="9"/>
      <c r="H30" s="9"/>
      <c r="J30" s="39"/>
      <c r="K30" s="39"/>
      <c r="L30" s="23"/>
      <c r="M30"/>
      <c r="N30"/>
      <c r="O30"/>
      <c r="P30"/>
      <c r="Q30"/>
      <c r="S30"/>
    </row>
    <row r="31" spans="1:20" ht="15.75" x14ac:dyDescent="0.25">
      <c r="A31" s="4"/>
      <c r="B31" s="3"/>
      <c r="C31" s="6" t="s">
        <v>177</v>
      </c>
      <c r="D31" s="3">
        <f>AVERAGE(D27:D30)</f>
        <v>2.9025000000000003</v>
      </c>
      <c r="E31" s="3">
        <v>2</v>
      </c>
      <c r="F31" s="3"/>
      <c r="I31" s="3"/>
      <c r="J31" s="39">
        <v>10</v>
      </c>
      <c r="K31" s="39" t="s">
        <v>310</v>
      </c>
      <c r="L31" s="23"/>
      <c r="R31" s="3"/>
      <c r="S31" s="3"/>
    </row>
    <row r="32" spans="1:20" s="3" customFormat="1" ht="15.75" x14ac:dyDescent="0.25">
      <c r="A32" s="5" t="s">
        <v>36</v>
      </c>
      <c r="C32" s="1"/>
      <c r="G32" s="9"/>
      <c r="H32" s="9"/>
      <c r="J32" s="39"/>
      <c r="K32" s="39"/>
      <c r="L32" s="23"/>
      <c r="M32"/>
      <c r="N32"/>
      <c r="O32"/>
      <c r="R32"/>
      <c r="S32"/>
      <c r="T32"/>
    </row>
    <row r="33" spans="1:20" ht="15.75" x14ac:dyDescent="0.25">
      <c r="A33" s="4" t="s">
        <v>279</v>
      </c>
      <c r="B33" s="25" t="s">
        <v>0</v>
      </c>
      <c r="C33" s="25" t="s">
        <v>27</v>
      </c>
      <c r="D33" s="1">
        <v>3.05</v>
      </c>
      <c r="F33" s="3"/>
      <c r="I33" s="3"/>
      <c r="J33" s="39">
        <v>11</v>
      </c>
      <c r="K33" s="39" t="s">
        <v>311</v>
      </c>
      <c r="L33" s="23"/>
      <c r="M33" s="3"/>
      <c r="N33" s="3"/>
      <c r="O33" s="3"/>
      <c r="P33" s="3"/>
      <c r="Q33" s="3"/>
      <c r="R33" s="3"/>
    </row>
    <row r="34" spans="1:20" ht="15.75" x14ac:dyDescent="0.25">
      <c r="A34" s="4" t="s">
        <v>279</v>
      </c>
      <c r="B34" s="25" t="s">
        <v>0</v>
      </c>
      <c r="C34" s="25" t="s">
        <v>31</v>
      </c>
      <c r="D34" s="1">
        <v>3.25</v>
      </c>
      <c r="F34" s="3"/>
      <c r="I34" s="3"/>
      <c r="J34" s="39"/>
      <c r="K34" s="39"/>
      <c r="L34" s="23"/>
      <c r="M34" s="3"/>
      <c r="N34" s="3"/>
      <c r="O34" s="3"/>
    </row>
    <row r="35" spans="1:20" ht="15.75" x14ac:dyDescent="0.25">
      <c r="A35" s="4" t="s">
        <v>279</v>
      </c>
      <c r="B35" s="25" t="s">
        <v>0</v>
      </c>
      <c r="C35" s="25" t="s">
        <v>32</v>
      </c>
      <c r="D35" s="1">
        <v>3.38</v>
      </c>
      <c r="E35" s="3"/>
      <c r="F35" s="3"/>
      <c r="I35" s="3"/>
      <c r="J35" s="39">
        <v>12</v>
      </c>
      <c r="K35" s="39" t="s">
        <v>312</v>
      </c>
      <c r="L35" s="23"/>
      <c r="P35" s="3"/>
      <c r="Q35" s="3"/>
      <c r="T35" s="3"/>
    </row>
    <row r="36" spans="1:20" ht="15.75" x14ac:dyDescent="0.25">
      <c r="A36" s="4"/>
      <c r="B36" s="1"/>
      <c r="C36" s="6" t="s">
        <v>177</v>
      </c>
      <c r="D36" s="1">
        <f>AVERAGE(D33:D35)</f>
        <v>3.2266666666666666</v>
      </c>
      <c r="E36" s="3">
        <v>7.8</v>
      </c>
      <c r="F36" s="3"/>
      <c r="I36" s="3"/>
      <c r="J36" s="39"/>
      <c r="K36" s="39"/>
      <c r="L36" s="23"/>
      <c r="M36" s="3"/>
      <c r="N36" s="3"/>
      <c r="O36" s="3"/>
      <c r="S36" s="3"/>
      <c r="T36" s="3"/>
    </row>
    <row r="37" spans="1:20" s="3" customFormat="1" ht="15.75" x14ac:dyDescent="0.25">
      <c r="A37" s="5" t="s">
        <v>178</v>
      </c>
      <c r="B37" s="1"/>
      <c r="C37" s="1"/>
      <c r="D37" s="1"/>
      <c r="G37" s="9"/>
      <c r="H37" s="9"/>
      <c r="J37" s="39">
        <v>13</v>
      </c>
      <c r="K37" s="39" t="s">
        <v>313</v>
      </c>
      <c r="L37" s="23"/>
      <c r="M37"/>
      <c r="N37"/>
      <c r="O37"/>
      <c r="P37"/>
      <c r="Q37"/>
      <c r="R37"/>
      <c r="T37"/>
    </row>
    <row r="38" spans="1:20" s="3" customFormat="1" ht="15.75" x14ac:dyDescent="0.25">
      <c r="A38" s="4" t="s">
        <v>279</v>
      </c>
      <c r="B38" s="25" t="s">
        <v>0</v>
      </c>
      <c r="C38" s="25" t="s">
        <v>29</v>
      </c>
      <c r="D38" s="1">
        <v>3.19</v>
      </c>
      <c r="E38"/>
      <c r="G38" s="9"/>
      <c r="H38" s="9"/>
      <c r="J38" s="39"/>
      <c r="K38" s="39"/>
      <c r="L38" s="23"/>
      <c r="M38"/>
      <c r="N38"/>
      <c r="O38"/>
      <c r="P38"/>
      <c r="Q38"/>
      <c r="S38"/>
      <c r="T38"/>
    </row>
    <row r="39" spans="1:20" ht="15.75" x14ac:dyDescent="0.25">
      <c r="A39" s="4" t="s">
        <v>279</v>
      </c>
      <c r="B39" s="25" t="s">
        <v>0</v>
      </c>
      <c r="C39" s="25" t="s">
        <v>33</v>
      </c>
      <c r="D39" s="1">
        <v>3.57</v>
      </c>
      <c r="F39" s="3"/>
      <c r="I39" s="3"/>
      <c r="J39" s="39">
        <v>14</v>
      </c>
      <c r="K39" s="39" t="s">
        <v>314</v>
      </c>
      <c r="L39" s="23"/>
      <c r="R39" s="3"/>
    </row>
    <row r="40" spans="1:20" ht="15.75" x14ac:dyDescent="0.25">
      <c r="A40" s="4" t="s">
        <v>279</v>
      </c>
      <c r="B40" s="25" t="s">
        <v>0</v>
      </c>
      <c r="C40" s="25" t="s">
        <v>34</v>
      </c>
      <c r="D40" s="1">
        <v>4.09</v>
      </c>
      <c r="E40" s="3"/>
      <c r="F40" s="3"/>
      <c r="I40" s="3"/>
      <c r="J40" s="39"/>
      <c r="K40" s="39"/>
      <c r="L40" s="23"/>
      <c r="P40" s="3"/>
      <c r="Q40" s="3"/>
    </row>
    <row r="41" spans="1:20" ht="15.75" x14ac:dyDescent="0.25">
      <c r="A41" s="4" t="s">
        <v>279</v>
      </c>
      <c r="B41" s="25" t="s">
        <v>0</v>
      </c>
      <c r="C41" s="25" t="s">
        <v>35</v>
      </c>
      <c r="D41" s="1">
        <v>4.2699999999999996</v>
      </c>
      <c r="E41" s="3"/>
      <c r="F41" s="3"/>
      <c r="I41" s="3"/>
      <c r="J41" s="39">
        <v>15</v>
      </c>
      <c r="K41" s="39" t="s">
        <v>315</v>
      </c>
      <c r="L41" s="23"/>
      <c r="M41" s="3"/>
      <c r="N41" s="3"/>
      <c r="O41" s="3"/>
      <c r="P41" s="3"/>
      <c r="Q41" s="3"/>
    </row>
    <row r="42" spans="1:20" ht="15.75" x14ac:dyDescent="0.25">
      <c r="A42" s="4"/>
      <c r="B42" s="1"/>
      <c r="C42" s="6" t="s">
        <v>177</v>
      </c>
      <c r="D42" s="1">
        <f>AVERAGE(D38:D41)</f>
        <v>3.78</v>
      </c>
      <c r="E42" s="3">
        <v>7.9</v>
      </c>
      <c r="F42" s="3"/>
      <c r="I42" s="3"/>
      <c r="J42" s="39"/>
      <c r="K42" s="39"/>
      <c r="L42" s="23"/>
      <c r="M42" s="3"/>
      <c r="N42" s="3"/>
      <c r="O42" s="3"/>
    </row>
    <row r="43" spans="1:20" ht="15.75" x14ac:dyDescent="0.25">
      <c r="A43" s="5" t="s">
        <v>37</v>
      </c>
      <c r="B43" s="1"/>
      <c r="C43" s="1"/>
      <c r="D43" s="1"/>
      <c r="E43" s="3"/>
      <c r="F43" s="3"/>
      <c r="I43" s="3"/>
      <c r="J43" s="39">
        <v>16</v>
      </c>
      <c r="K43" s="39" t="s">
        <v>316</v>
      </c>
      <c r="L43" s="23"/>
    </row>
    <row r="44" spans="1:20" ht="15.75" x14ac:dyDescent="0.25">
      <c r="A44" s="4" t="s">
        <v>279</v>
      </c>
      <c r="B44" s="25" t="s">
        <v>0</v>
      </c>
      <c r="C44" s="25" t="s">
        <v>28</v>
      </c>
      <c r="D44" s="1">
        <v>3.16</v>
      </c>
      <c r="E44" s="3">
        <v>6.6</v>
      </c>
      <c r="F44" s="3"/>
      <c r="I44" s="3"/>
      <c r="J44" s="39"/>
      <c r="K44" s="39"/>
      <c r="L44" s="23"/>
      <c r="P44" s="7"/>
    </row>
    <row r="45" spans="1:20" ht="15.75" x14ac:dyDescent="0.25">
      <c r="A45" s="3"/>
      <c r="B45" s="3"/>
      <c r="C45" s="3"/>
      <c r="D45" s="3"/>
      <c r="E45" s="3"/>
      <c r="F45" s="3"/>
      <c r="G45" s="3"/>
      <c r="I45" s="3"/>
      <c r="J45" s="39">
        <v>17</v>
      </c>
      <c r="K45" s="39" t="s">
        <v>317</v>
      </c>
      <c r="L45" s="23"/>
      <c r="O45" s="9"/>
      <c r="P45" s="7"/>
    </row>
    <row r="46" spans="1:20" ht="15.75" x14ac:dyDescent="0.25">
      <c r="A46" s="4" t="s">
        <v>280</v>
      </c>
      <c r="B46" s="2" t="s">
        <v>1</v>
      </c>
      <c r="C46" s="2" t="s">
        <v>3</v>
      </c>
      <c r="D46" s="3">
        <v>2.0699999999999998</v>
      </c>
      <c r="E46" s="3">
        <v>0.05</v>
      </c>
      <c r="F46" s="1"/>
      <c r="G46" s="20" t="s">
        <v>296</v>
      </c>
      <c r="H46" s="9" t="s">
        <v>186</v>
      </c>
      <c r="J46" s="39"/>
      <c r="K46" s="39"/>
      <c r="L46" s="23"/>
      <c r="O46" s="9"/>
    </row>
    <row r="47" spans="1:20" ht="15.75" x14ac:dyDescent="0.25">
      <c r="A47" s="4" t="s">
        <v>280</v>
      </c>
      <c r="B47" s="2" t="s">
        <v>1</v>
      </c>
      <c r="C47" s="2" t="s">
        <v>4</v>
      </c>
      <c r="D47" s="3">
        <v>2.15</v>
      </c>
      <c r="E47" s="3">
        <v>0.06</v>
      </c>
      <c r="F47" s="3"/>
      <c r="J47" s="39">
        <v>18</v>
      </c>
      <c r="K47" s="39" t="s">
        <v>318</v>
      </c>
      <c r="L47" s="23"/>
    </row>
    <row r="48" spans="1:20" ht="15.75" x14ac:dyDescent="0.25">
      <c r="A48" s="4" t="s">
        <v>280</v>
      </c>
      <c r="B48" s="2" t="s">
        <v>1</v>
      </c>
      <c r="C48" s="2" t="s">
        <v>5</v>
      </c>
      <c r="D48" s="3">
        <v>2.17</v>
      </c>
      <c r="E48" s="3">
        <v>0.04</v>
      </c>
      <c r="F48" s="3"/>
      <c r="J48" s="39"/>
      <c r="K48" s="39"/>
      <c r="L48" s="23"/>
    </row>
    <row r="49" spans="1:12" ht="15.75" x14ac:dyDescent="0.25">
      <c r="A49" s="4" t="s">
        <v>280</v>
      </c>
      <c r="B49" s="2" t="s">
        <v>1</v>
      </c>
      <c r="C49" s="2" t="s">
        <v>7</v>
      </c>
      <c r="D49" s="3">
        <v>2.23</v>
      </c>
      <c r="E49" s="3">
        <v>0.72</v>
      </c>
      <c r="F49" s="3"/>
      <c r="J49" s="39">
        <v>19</v>
      </c>
      <c r="K49" s="39" t="s">
        <v>319</v>
      </c>
      <c r="L49" s="23"/>
    </row>
    <row r="50" spans="1:12" ht="15.75" x14ac:dyDescent="0.25">
      <c r="A50" s="4" t="s">
        <v>280</v>
      </c>
      <c r="B50" s="2" t="s">
        <v>1</v>
      </c>
      <c r="C50" s="2" t="s">
        <v>9</v>
      </c>
      <c r="D50" s="3">
        <v>2.23</v>
      </c>
      <c r="E50" s="3">
        <v>0.28000000000000003</v>
      </c>
      <c r="F50" s="3"/>
      <c r="J50" s="39"/>
      <c r="K50" s="39"/>
      <c r="L50" s="23"/>
    </row>
    <row r="51" spans="1:12" ht="15.75" x14ac:dyDescent="0.25">
      <c r="A51" s="4" t="s">
        <v>280</v>
      </c>
      <c r="B51" s="2" t="s">
        <v>1</v>
      </c>
      <c r="C51" s="2" t="s">
        <v>12</v>
      </c>
      <c r="D51" s="3">
        <v>2.38</v>
      </c>
      <c r="E51" s="3">
        <v>0.82</v>
      </c>
      <c r="F51" s="3"/>
      <c r="J51" s="39">
        <v>20</v>
      </c>
      <c r="K51" s="39" t="s">
        <v>320</v>
      </c>
      <c r="L51" s="23"/>
    </row>
    <row r="52" spans="1:12" ht="15.75" x14ac:dyDescent="0.25">
      <c r="A52" s="4" t="s">
        <v>280</v>
      </c>
      <c r="B52" s="2" t="s">
        <v>1</v>
      </c>
      <c r="C52" s="2" t="s">
        <v>14</v>
      </c>
      <c r="D52" s="3">
        <v>2.39</v>
      </c>
      <c r="E52" s="3">
        <v>0.04</v>
      </c>
      <c r="F52" s="3"/>
      <c r="J52" s="39"/>
      <c r="K52" s="39" t="s">
        <v>107</v>
      </c>
      <c r="L52" s="23"/>
    </row>
    <row r="53" spans="1:12" ht="15.75" x14ac:dyDescent="0.25">
      <c r="A53" s="4" t="s">
        <v>280</v>
      </c>
      <c r="B53" s="2" t="s">
        <v>1</v>
      </c>
      <c r="C53" s="2" t="s">
        <v>16</v>
      </c>
      <c r="D53" s="3">
        <v>2.41</v>
      </c>
      <c r="E53" s="3">
        <v>0.19</v>
      </c>
      <c r="F53" s="3"/>
      <c r="J53" s="39">
        <v>21</v>
      </c>
      <c r="K53" s="39" t="s">
        <v>321</v>
      </c>
      <c r="L53" s="23"/>
    </row>
    <row r="54" spans="1:12" ht="15.75" x14ac:dyDescent="0.25">
      <c r="A54" s="4" t="s">
        <v>280</v>
      </c>
      <c r="B54" s="2" t="s">
        <v>1</v>
      </c>
      <c r="C54" s="2" t="s">
        <v>18</v>
      </c>
      <c r="D54" s="3">
        <v>2.46</v>
      </c>
      <c r="E54" s="3">
        <v>0.04</v>
      </c>
      <c r="F54" s="3"/>
      <c r="J54" s="23"/>
      <c r="K54" s="12"/>
      <c r="L54" s="23"/>
    </row>
    <row r="55" spans="1:12" x14ac:dyDescent="0.25">
      <c r="A55" s="4" t="s">
        <v>280</v>
      </c>
      <c r="B55" s="2" t="s">
        <v>1</v>
      </c>
      <c r="C55" s="2" t="s">
        <v>20</v>
      </c>
      <c r="D55" s="3">
        <v>2.48</v>
      </c>
      <c r="E55" s="3">
        <v>0.31</v>
      </c>
      <c r="F55" s="3"/>
    </row>
    <row r="56" spans="1:12" x14ac:dyDescent="0.25">
      <c r="A56" s="4" t="s">
        <v>280</v>
      </c>
      <c r="B56" s="2" t="s">
        <v>1</v>
      </c>
      <c r="C56" s="2" t="s">
        <v>22</v>
      </c>
      <c r="D56" s="3">
        <v>2.61</v>
      </c>
      <c r="E56" s="3">
        <v>0.28000000000000003</v>
      </c>
      <c r="F56" s="3"/>
    </row>
    <row r="57" spans="1:12" x14ac:dyDescent="0.25">
      <c r="A57" s="4" t="s">
        <v>280</v>
      </c>
      <c r="B57" s="2" t="s">
        <v>1</v>
      </c>
      <c r="C57" s="2" t="s">
        <v>23</v>
      </c>
      <c r="D57" s="3">
        <v>2.64</v>
      </c>
      <c r="E57" s="3">
        <v>0.23</v>
      </c>
      <c r="F57" s="3"/>
    </row>
    <row r="58" spans="1:12" x14ac:dyDescent="0.25">
      <c r="A58" s="4" t="s">
        <v>280</v>
      </c>
      <c r="B58" s="2" t="s">
        <v>1</v>
      </c>
      <c r="C58" s="2" t="s">
        <v>24</v>
      </c>
      <c r="D58" s="3">
        <v>2.67</v>
      </c>
      <c r="E58" s="3">
        <v>0.31</v>
      </c>
      <c r="F58" s="3"/>
    </row>
    <row r="59" spans="1:12" x14ac:dyDescent="0.25">
      <c r="A59" s="4" t="s">
        <v>280</v>
      </c>
      <c r="B59" s="2" t="s">
        <v>1</v>
      </c>
      <c r="C59" s="2" t="s">
        <v>25</v>
      </c>
      <c r="D59" s="3">
        <v>2.89</v>
      </c>
      <c r="E59" s="3">
        <v>0.88</v>
      </c>
      <c r="F59" s="3"/>
    </row>
    <row r="60" spans="1:12" x14ac:dyDescent="0.25">
      <c r="A60" s="4" t="s">
        <v>280</v>
      </c>
      <c r="B60" s="2" t="s">
        <v>1</v>
      </c>
      <c r="C60" s="2" t="s">
        <v>26</v>
      </c>
      <c r="D60" s="3">
        <v>2.94</v>
      </c>
      <c r="E60" s="3">
        <v>0.65</v>
      </c>
      <c r="F60" s="3"/>
    </row>
    <row r="61" spans="1:12" x14ac:dyDescent="0.25">
      <c r="A61" s="4" t="s">
        <v>280</v>
      </c>
      <c r="B61" s="2" t="s">
        <v>1</v>
      </c>
      <c r="C61" s="2" t="s">
        <v>2</v>
      </c>
      <c r="D61" s="3">
        <v>1.96</v>
      </c>
      <c r="E61" s="3">
        <v>0.8</v>
      </c>
      <c r="F61" s="3" t="s">
        <v>88</v>
      </c>
    </row>
    <row r="62" spans="1:12" x14ac:dyDescent="0.25">
      <c r="A62" s="3"/>
      <c r="B62" s="2"/>
      <c r="C62" s="2"/>
      <c r="D62" s="3"/>
      <c r="E62" s="3"/>
      <c r="F62" s="3"/>
    </row>
    <row r="63" spans="1:12" x14ac:dyDescent="0.25">
      <c r="A63" s="3" t="s">
        <v>281</v>
      </c>
      <c r="B63" s="2" t="s">
        <v>150</v>
      </c>
      <c r="C63" s="25" t="s">
        <v>151</v>
      </c>
      <c r="D63" s="26">
        <v>0.7</v>
      </c>
      <c r="E63" s="17">
        <f>18*0.08</f>
        <v>1.44</v>
      </c>
      <c r="F63" s="1"/>
      <c r="G63" s="9" t="s">
        <v>108</v>
      </c>
      <c r="H63" s="9" t="s">
        <v>187</v>
      </c>
    </row>
    <row r="64" spans="1:12" x14ac:dyDescent="0.25">
      <c r="A64" s="3" t="s">
        <v>281</v>
      </c>
      <c r="B64" s="2" t="s">
        <v>150</v>
      </c>
      <c r="C64" s="25" t="s">
        <v>152</v>
      </c>
      <c r="D64" s="26">
        <v>0.75</v>
      </c>
      <c r="E64" s="17">
        <f>43*0.08</f>
        <v>3.44</v>
      </c>
      <c r="F64" s="3"/>
    </row>
    <row r="65" spans="1:8" x14ac:dyDescent="0.25">
      <c r="A65" s="3" t="s">
        <v>281</v>
      </c>
      <c r="B65" s="2" t="s">
        <v>150</v>
      </c>
      <c r="C65" s="25" t="s">
        <v>153</v>
      </c>
      <c r="D65" s="26">
        <v>0.87</v>
      </c>
      <c r="E65" s="17">
        <f>29*0.08</f>
        <v>2.3199999999999998</v>
      </c>
      <c r="F65" s="3"/>
    </row>
    <row r="66" spans="1:8" x14ac:dyDescent="0.25">
      <c r="A66" s="3" t="s">
        <v>281</v>
      </c>
      <c r="B66" s="2" t="s">
        <v>150</v>
      </c>
      <c r="C66" s="25" t="s">
        <v>154</v>
      </c>
      <c r="D66" s="26">
        <v>1.33</v>
      </c>
      <c r="E66" s="17">
        <f>49*0.08</f>
        <v>3.92</v>
      </c>
      <c r="F66" s="3"/>
    </row>
    <row r="67" spans="1:8" x14ac:dyDescent="0.25">
      <c r="A67" s="3" t="s">
        <v>281</v>
      </c>
      <c r="B67" s="2" t="s">
        <v>150</v>
      </c>
      <c r="C67" s="25" t="s">
        <v>155</v>
      </c>
      <c r="D67" s="26">
        <v>1.45</v>
      </c>
      <c r="E67" s="17">
        <f>70*0.08</f>
        <v>5.6000000000000005</v>
      </c>
      <c r="F67" s="3"/>
    </row>
    <row r="68" spans="1:8" x14ac:dyDescent="0.25">
      <c r="A68" s="3" t="s">
        <v>281</v>
      </c>
      <c r="B68" s="2" t="s">
        <v>150</v>
      </c>
      <c r="C68" s="25" t="s">
        <v>156</v>
      </c>
      <c r="D68" s="26">
        <v>1.5</v>
      </c>
      <c r="E68" s="17">
        <f>87*0.08</f>
        <v>6.96</v>
      </c>
      <c r="F68" s="3"/>
    </row>
    <row r="69" spans="1:8" x14ac:dyDescent="0.25">
      <c r="A69" s="3" t="s">
        <v>281</v>
      </c>
      <c r="B69" s="2" t="s">
        <v>150</v>
      </c>
      <c r="C69" s="25" t="s">
        <v>158</v>
      </c>
      <c r="D69" s="26">
        <v>1.63</v>
      </c>
      <c r="E69" s="17">
        <f>49*0.08</f>
        <v>3.92</v>
      </c>
      <c r="F69" s="3"/>
    </row>
    <row r="70" spans="1:8" x14ac:dyDescent="0.25">
      <c r="A70" s="3" t="s">
        <v>281</v>
      </c>
      <c r="B70" s="2" t="s">
        <v>150</v>
      </c>
      <c r="C70" s="25" t="s">
        <v>159</v>
      </c>
      <c r="D70" s="26">
        <v>1.78</v>
      </c>
      <c r="E70" s="17">
        <f>75*0.08</f>
        <v>6</v>
      </c>
      <c r="F70" s="3"/>
    </row>
    <row r="71" spans="1:8" x14ac:dyDescent="0.25">
      <c r="A71" s="3" t="s">
        <v>281</v>
      </c>
      <c r="B71" s="2" t="s">
        <v>150</v>
      </c>
      <c r="C71" s="25" t="s">
        <v>160</v>
      </c>
      <c r="D71" s="26">
        <v>2.0499999999999998</v>
      </c>
      <c r="E71" s="17">
        <f>89*0.08</f>
        <v>7.12</v>
      </c>
      <c r="F71" s="3"/>
    </row>
    <row r="72" spans="1:8" x14ac:dyDescent="0.25">
      <c r="A72" s="3" t="s">
        <v>281</v>
      </c>
      <c r="B72" s="2" t="s">
        <v>150</v>
      </c>
      <c r="C72" s="25" t="s">
        <v>157</v>
      </c>
      <c r="D72" s="26">
        <v>2.2000000000000002</v>
      </c>
      <c r="E72" s="17">
        <f>11*0.08</f>
        <v>0.88</v>
      </c>
      <c r="F72" s="3" t="s">
        <v>88</v>
      </c>
    </row>
    <row r="73" spans="1:8" x14ac:dyDescent="0.25">
      <c r="B73" s="2"/>
      <c r="C73" s="25"/>
    </row>
    <row r="74" spans="1:8" x14ac:dyDescent="0.25">
      <c r="A74" s="3" t="s">
        <v>281</v>
      </c>
      <c r="B74" s="2" t="s">
        <v>161</v>
      </c>
      <c r="C74" s="25" t="s">
        <v>87</v>
      </c>
      <c r="D74" s="3">
        <v>0.95</v>
      </c>
      <c r="E74" s="3">
        <v>0.73</v>
      </c>
      <c r="F74" s="3"/>
      <c r="G74" s="20" t="s">
        <v>296</v>
      </c>
      <c r="H74" s="9" t="s">
        <v>188</v>
      </c>
    </row>
    <row r="75" spans="1:8" x14ac:dyDescent="0.25">
      <c r="A75" s="3" t="s">
        <v>281</v>
      </c>
      <c r="B75" s="2" t="s">
        <v>161</v>
      </c>
      <c r="C75" s="25" t="s">
        <v>162</v>
      </c>
      <c r="D75" s="3">
        <v>1.1299999999999999</v>
      </c>
      <c r="E75" s="3">
        <v>0.73</v>
      </c>
      <c r="F75" s="3"/>
    </row>
    <row r="76" spans="1:8" x14ac:dyDescent="0.25">
      <c r="A76" s="3" t="s">
        <v>281</v>
      </c>
      <c r="B76" s="2" t="s">
        <v>161</v>
      </c>
      <c r="C76" s="25" t="s">
        <v>163</v>
      </c>
      <c r="D76" s="3">
        <v>1.33</v>
      </c>
      <c r="E76" s="3">
        <v>2.61</v>
      </c>
      <c r="F76" s="3"/>
    </row>
    <row r="77" spans="1:8" x14ac:dyDescent="0.25">
      <c r="A77" s="3" t="s">
        <v>281</v>
      </c>
      <c r="B77" s="2" t="s">
        <v>161</v>
      </c>
      <c r="C77" s="25" t="s">
        <v>156</v>
      </c>
      <c r="D77" s="3">
        <v>1.65</v>
      </c>
      <c r="E77" s="3">
        <v>1.64</v>
      </c>
      <c r="F77" s="3"/>
    </row>
    <row r="78" spans="1:8" x14ac:dyDescent="0.25">
      <c r="B78" s="2"/>
      <c r="C78" s="25"/>
      <c r="D78" s="3"/>
      <c r="E78" s="3"/>
      <c r="F78" s="3"/>
    </row>
    <row r="79" spans="1:8" x14ac:dyDescent="0.25">
      <c r="A79" s="3" t="s">
        <v>164</v>
      </c>
      <c r="B79" s="2" t="s">
        <v>165</v>
      </c>
      <c r="C79" s="25" t="s">
        <v>172</v>
      </c>
      <c r="D79" s="3">
        <v>35.200000000000003</v>
      </c>
      <c r="E79" s="3">
        <f>19*0.13</f>
        <v>2.4700000000000002</v>
      </c>
      <c r="F79" s="3"/>
      <c r="G79" s="9" t="s">
        <v>108</v>
      </c>
      <c r="H79" s="9" t="s">
        <v>189</v>
      </c>
    </row>
    <row r="80" spans="1:8" x14ac:dyDescent="0.25">
      <c r="A80" s="3" t="s">
        <v>164</v>
      </c>
      <c r="B80" s="2" t="s">
        <v>165</v>
      </c>
      <c r="C80" s="25" t="s">
        <v>166</v>
      </c>
      <c r="D80" s="3">
        <v>33.450000000000003</v>
      </c>
      <c r="E80" s="3">
        <f>20*0.13</f>
        <v>2.6</v>
      </c>
      <c r="F80" s="3"/>
      <c r="G80" s="3"/>
    </row>
    <row r="81" spans="1:8" x14ac:dyDescent="0.25">
      <c r="A81" s="3" t="s">
        <v>164</v>
      </c>
      <c r="B81" s="2" t="s">
        <v>165</v>
      </c>
      <c r="C81" s="25" t="s">
        <v>167</v>
      </c>
      <c r="D81" s="3">
        <v>33.69</v>
      </c>
      <c r="E81" s="3">
        <f>23*0.13</f>
        <v>2.99</v>
      </c>
      <c r="F81" s="3"/>
    </row>
    <row r="82" spans="1:8" x14ac:dyDescent="0.25">
      <c r="A82" s="3" t="s">
        <v>164</v>
      </c>
      <c r="B82" s="2" t="s">
        <v>165</v>
      </c>
      <c r="C82" s="25" t="s">
        <v>170</v>
      </c>
      <c r="D82" s="3">
        <v>33.92</v>
      </c>
      <c r="E82" s="3">
        <f>23*0.13</f>
        <v>2.99</v>
      </c>
      <c r="F82" s="3"/>
    </row>
    <row r="83" spans="1:8" x14ac:dyDescent="0.25">
      <c r="A83" s="3" t="s">
        <v>164</v>
      </c>
      <c r="B83" s="2" t="s">
        <v>165</v>
      </c>
      <c r="C83" s="25" t="s">
        <v>168</v>
      </c>
      <c r="D83" s="3">
        <v>33.74</v>
      </c>
      <c r="E83" s="3">
        <f>28*0.13</f>
        <v>3.64</v>
      </c>
      <c r="F83" s="3"/>
    </row>
    <row r="84" spans="1:8" x14ac:dyDescent="0.25">
      <c r="A84" s="3" t="s">
        <v>164</v>
      </c>
      <c r="B84" s="2" t="s">
        <v>165</v>
      </c>
      <c r="C84" s="25" t="s">
        <v>169</v>
      </c>
      <c r="D84" s="3">
        <v>33.869999999999997</v>
      </c>
      <c r="E84" s="3">
        <f>29*0.13</f>
        <v>3.77</v>
      </c>
      <c r="F84" s="3"/>
    </row>
    <row r="85" spans="1:8" x14ac:dyDescent="0.25">
      <c r="A85" s="3" t="s">
        <v>164</v>
      </c>
      <c r="B85" s="2" t="s">
        <v>165</v>
      </c>
      <c r="C85" s="25" t="s">
        <v>171</v>
      </c>
      <c r="D85" s="3">
        <v>35.130000000000003</v>
      </c>
      <c r="E85" s="3">
        <f>29*0.13</f>
        <v>3.77</v>
      </c>
      <c r="F85" s="3"/>
    </row>
    <row r="86" spans="1:8" x14ac:dyDescent="0.25">
      <c r="A86" s="3" t="s">
        <v>164</v>
      </c>
      <c r="B86" s="2" t="s">
        <v>165</v>
      </c>
      <c r="C86" s="25" t="s">
        <v>173</v>
      </c>
      <c r="D86" s="3">
        <v>37.979999999999997</v>
      </c>
      <c r="E86" s="3">
        <f>30*0.13</f>
        <v>3.9000000000000004</v>
      </c>
      <c r="F86" s="3"/>
    </row>
    <row r="87" spans="1:8" x14ac:dyDescent="0.25">
      <c r="A87" s="3" t="s">
        <v>164</v>
      </c>
      <c r="B87" s="2" t="s">
        <v>165</v>
      </c>
      <c r="C87" s="25" t="s">
        <v>174</v>
      </c>
      <c r="D87" s="3">
        <v>43.2</v>
      </c>
      <c r="E87" s="3">
        <f>40*0.13</f>
        <v>5.2</v>
      </c>
      <c r="F87" s="3"/>
    </row>
    <row r="88" spans="1:8" x14ac:dyDescent="0.25">
      <c r="B88" s="2"/>
      <c r="C88" s="2"/>
      <c r="D88" s="3"/>
      <c r="E88" s="3"/>
      <c r="F88" s="3"/>
    </row>
    <row r="89" spans="1:8" x14ac:dyDescent="0.25">
      <c r="A89" s="3" t="s">
        <v>198</v>
      </c>
      <c r="B89" s="25" t="s">
        <v>199</v>
      </c>
      <c r="C89" s="25" t="s">
        <v>200</v>
      </c>
      <c r="D89" s="3">
        <v>0.73</v>
      </c>
      <c r="E89" s="3">
        <f>2*0.42</f>
        <v>0.84</v>
      </c>
      <c r="F89" s="3"/>
      <c r="G89" s="9" t="s">
        <v>108</v>
      </c>
      <c r="H89" s="9" t="s">
        <v>190</v>
      </c>
    </row>
    <row r="90" spans="1:8" x14ac:dyDescent="0.25">
      <c r="A90" s="3" t="s">
        <v>198</v>
      </c>
      <c r="B90" s="2" t="s">
        <v>199</v>
      </c>
      <c r="C90" s="25" t="s">
        <v>202</v>
      </c>
      <c r="D90" s="3">
        <v>1.63</v>
      </c>
      <c r="E90" s="3">
        <f>22*0.42</f>
        <v>9.24</v>
      </c>
      <c r="F90" s="3"/>
    </row>
    <row r="91" spans="1:8" x14ac:dyDescent="0.25">
      <c r="A91" s="3" t="s">
        <v>198</v>
      </c>
      <c r="B91" s="2" t="s">
        <v>199</v>
      </c>
      <c r="C91" s="25" t="s">
        <v>203</v>
      </c>
      <c r="D91" s="3">
        <v>1.7</v>
      </c>
      <c r="E91" s="3">
        <f>15*0.42</f>
        <v>6.3</v>
      </c>
      <c r="F91" s="3"/>
    </row>
    <row r="92" spans="1:8" x14ac:dyDescent="0.25">
      <c r="A92" s="3" t="s">
        <v>198</v>
      </c>
      <c r="B92" s="2" t="s">
        <v>199</v>
      </c>
      <c r="C92" s="25" t="s">
        <v>204</v>
      </c>
      <c r="D92" s="3">
        <v>1.72</v>
      </c>
      <c r="E92" s="3">
        <f>40*0.42</f>
        <v>16.8</v>
      </c>
      <c r="F92" s="3"/>
    </row>
    <row r="93" spans="1:8" x14ac:dyDescent="0.25">
      <c r="A93" s="3" t="s">
        <v>198</v>
      </c>
      <c r="B93" s="2" t="s">
        <v>199</v>
      </c>
      <c r="C93" s="25" t="s">
        <v>205</v>
      </c>
      <c r="D93" s="3">
        <v>0.76</v>
      </c>
      <c r="E93" s="3">
        <f>42*0.42</f>
        <v>17.64</v>
      </c>
      <c r="F93" s="3"/>
    </row>
    <row r="94" spans="1:8" x14ac:dyDescent="0.25">
      <c r="A94" s="3"/>
      <c r="B94" s="2"/>
      <c r="C94" s="25"/>
      <c r="D94" s="3"/>
      <c r="E94" s="3"/>
      <c r="F94" s="3"/>
    </row>
    <row r="95" spans="1:8" x14ac:dyDescent="0.25">
      <c r="A95" s="3" t="s">
        <v>206</v>
      </c>
      <c r="B95" s="2" t="s">
        <v>207</v>
      </c>
      <c r="C95" s="25" t="s">
        <v>208</v>
      </c>
      <c r="D95" s="3">
        <v>21.83</v>
      </c>
      <c r="E95" s="3">
        <f>2*0.63</f>
        <v>1.26</v>
      </c>
      <c r="F95" s="3"/>
      <c r="G95" s="9" t="s">
        <v>108</v>
      </c>
      <c r="H95" s="9" t="s">
        <v>191</v>
      </c>
    </row>
    <row r="96" spans="1:8" x14ac:dyDescent="0.25">
      <c r="A96" s="3" t="s">
        <v>206</v>
      </c>
      <c r="B96" s="2" t="s">
        <v>207</v>
      </c>
      <c r="C96" s="25" t="s">
        <v>210</v>
      </c>
      <c r="D96" s="3">
        <v>20.93</v>
      </c>
      <c r="E96" s="3">
        <f>13*0.63</f>
        <v>8.19</v>
      </c>
      <c r="F96" s="3"/>
    </row>
    <row r="97" spans="1:8" x14ac:dyDescent="0.25">
      <c r="A97" s="3" t="s">
        <v>206</v>
      </c>
      <c r="B97" s="2" t="s">
        <v>207</v>
      </c>
      <c r="C97" s="25" t="s">
        <v>211</v>
      </c>
      <c r="D97" s="3">
        <v>34.5</v>
      </c>
      <c r="E97" s="3">
        <f>13*0.63</f>
        <v>8.19</v>
      </c>
      <c r="F97" s="3"/>
    </row>
    <row r="98" spans="1:8" x14ac:dyDescent="0.25">
      <c r="A98" s="3"/>
      <c r="B98" s="2"/>
      <c r="C98" s="25"/>
      <c r="D98" s="3"/>
      <c r="E98" s="3"/>
      <c r="F98" s="3"/>
    </row>
    <row r="99" spans="1:8" x14ac:dyDescent="0.25">
      <c r="A99" s="3" t="s">
        <v>282</v>
      </c>
      <c r="B99" s="2" t="s">
        <v>130</v>
      </c>
      <c r="C99" s="25" t="s">
        <v>131</v>
      </c>
      <c r="D99" s="3">
        <v>3.43</v>
      </c>
      <c r="E99" s="3">
        <f>5*0.14</f>
        <v>0.70000000000000007</v>
      </c>
      <c r="F99" s="1"/>
      <c r="G99" s="9" t="s">
        <v>108</v>
      </c>
      <c r="H99" s="9" t="s">
        <v>192</v>
      </c>
    </row>
    <row r="100" spans="1:8" x14ac:dyDescent="0.25">
      <c r="A100" s="3" t="s">
        <v>282</v>
      </c>
      <c r="B100" s="2" t="s">
        <v>130</v>
      </c>
      <c r="C100" s="25" t="s">
        <v>132</v>
      </c>
      <c r="D100" s="3">
        <v>3.51</v>
      </c>
      <c r="E100" s="3">
        <f>5*0.14</f>
        <v>0.70000000000000007</v>
      </c>
      <c r="F100" s="3"/>
    </row>
    <row r="101" spans="1:8" x14ac:dyDescent="0.25">
      <c r="A101" s="3" t="s">
        <v>282</v>
      </c>
      <c r="B101" s="2" t="s">
        <v>130</v>
      </c>
      <c r="C101" s="25" t="s">
        <v>133</v>
      </c>
      <c r="D101" s="3">
        <v>4.32</v>
      </c>
      <c r="E101" s="3">
        <f>6*0.14</f>
        <v>0.84000000000000008</v>
      </c>
      <c r="F101" s="3"/>
    </row>
    <row r="102" spans="1:8" x14ac:dyDescent="0.25">
      <c r="A102" s="3" t="s">
        <v>282</v>
      </c>
      <c r="B102" s="2" t="s">
        <v>130</v>
      </c>
      <c r="C102" s="25" t="s">
        <v>134</v>
      </c>
      <c r="D102" s="3">
        <v>4.43</v>
      </c>
      <c r="E102" s="3">
        <f>16*0.14</f>
        <v>2.2400000000000002</v>
      </c>
      <c r="F102" s="3"/>
    </row>
    <row r="103" spans="1:8" x14ac:dyDescent="0.25">
      <c r="A103" s="3" t="s">
        <v>282</v>
      </c>
      <c r="B103" s="2" t="s">
        <v>130</v>
      </c>
      <c r="C103" s="25" t="s">
        <v>135</v>
      </c>
      <c r="D103" s="3">
        <v>4.58</v>
      </c>
      <c r="E103" s="3">
        <f>6*0.14</f>
        <v>0.84000000000000008</v>
      </c>
      <c r="F103" s="3"/>
    </row>
    <row r="104" spans="1:8" x14ac:dyDescent="0.25">
      <c r="A104" s="3" t="s">
        <v>282</v>
      </c>
      <c r="B104" s="2" t="s">
        <v>130</v>
      </c>
      <c r="C104" s="25" t="s">
        <v>136</v>
      </c>
      <c r="D104" s="3">
        <v>4.5999999999999996</v>
      </c>
      <c r="E104" s="3">
        <f>7*0.14</f>
        <v>0.98000000000000009</v>
      </c>
      <c r="F104" s="3"/>
    </row>
    <row r="105" spans="1:8" x14ac:dyDescent="0.25">
      <c r="A105" s="3" t="s">
        <v>282</v>
      </c>
      <c r="B105" s="2" t="s">
        <v>130</v>
      </c>
      <c r="C105" s="25" t="s">
        <v>137</v>
      </c>
      <c r="D105" s="3">
        <v>4.63</v>
      </c>
      <c r="E105" s="3">
        <f>8*0.14</f>
        <v>1.1200000000000001</v>
      </c>
      <c r="F105" s="3"/>
    </row>
    <row r="106" spans="1:8" x14ac:dyDescent="0.25">
      <c r="A106" s="3" t="s">
        <v>282</v>
      </c>
      <c r="B106" s="2" t="s">
        <v>130</v>
      </c>
      <c r="C106" s="25" t="s">
        <v>138</v>
      </c>
      <c r="D106" s="3">
        <v>4.75</v>
      </c>
      <c r="E106" s="3">
        <f>9*0.14</f>
        <v>1.2600000000000002</v>
      </c>
      <c r="F106" s="3"/>
    </row>
    <row r="107" spans="1:8" x14ac:dyDescent="0.25">
      <c r="A107" s="3" t="s">
        <v>282</v>
      </c>
      <c r="B107" s="2" t="s">
        <v>130</v>
      </c>
      <c r="C107" s="25" t="s">
        <v>139</v>
      </c>
      <c r="D107" s="3">
        <v>4.79</v>
      </c>
      <c r="E107" s="3">
        <f>7*0.14</f>
        <v>0.98000000000000009</v>
      </c>
      <c r="F107" s="3"/>
    </row>
    <row r="108" spans="1:8" x14ac:dyDescent="0.25">
      <c r="A108" s="3" t="s">
        <v>282</v>
      </c>
      <c r="B108" s="2" t="s">
        <v>130</v>
      </c>
      <c r="C108" s="25" t="s">
        <v>140</v>
      </c>
      <c r="D108" s="3">
        <v>4.9800000000000004</v>
      </c>
      <c r="E108" s="3">
        <f>27*0.14</f>
        <v>3.7800000000000002</v>
      </c>
      <c r="F108" s="3"/>
    </row>
    <row r="109" spans="1:8" x14ac:dyDescent="0.25">
      <c r="A109" s="3" t="s">
        <v>282</v>
      </c>
      <c r="B109" s="2" t="s">
        <v>130</v>
      </c>
      <c r="C109" s="25" t="s">
        <v>141</v>
      </c>
      <c r="D109" s="3">
        <v>4.9800000000000004</v>
      </c>
      <c r="E109" s="3">
        <f>22*0.14</f>
        <v>3.08</v>
      </c>
      <c r="F109" s="3"/>
    </row>
    <row r="110" spans="1:8" x14ac:dyDescent="0.25">
      <c r="A110" s="3" t="s">
        <v>282</v>
      </c>
      <c r="B110" s="2" t="s">
        <v>130</v>
      </c>
      <c r="C110" s="25" t="s">
        <v>142</v>
      </c>
      <c r="D110" s="3">
        <v>5.03</v>
      </c>
      <c r="E110" s="3">
        <f>22*0.14</f>
        <v>3.08</v>
      </c>
      <c r="F110" s="3"/>
    </row>
    <row r="111" spans="1:8" x14ac:dyDescent="0.25">
      <c r="A111" s="3" t="s">
        <v>282</v>
      </c>
      <c r="B111" s="2" t="s">
        <v>130</v>
      </c>
      <c r="C111" s="25" t="s">
        <v>143</v>
      </c>
      <c r="D111" s="3">
        <v>5.45</v>
      </c>
      <c r="E111" s="3">
        <f>16*0.14</f>
        <v>2.2400000000000002</v>
      </c>
      <c r="F111" s="3"/>
    </row>
    <row r="112" spans="1:8" x14ac:dyDescent="0.25">
      <c r="A112" s="3" t="s">
        <v>282</v>
      </c>
      <c r="B112" s="2" t="s">
        <v>130</v>
      </c>
      <c r="C112" s="25" t="s">
        <v>145</v>
      </c>
      <c r="D112" s="3">
        <v>5.5</v>
      </c>
      <c r="E112" s="3">
        <f>41*0.14</f>
        <v>5.74</v>
      </c>
      <c r="F112" s="3"/>
    </row>
    <row r="113" spans="1:8" x14ac:dyDescent="0.25">
      <c r="A113" s="3" t="s">
        <v>282</v>
      </c>
      <c r="B113" s="2" t="s">
        <v>130</v>
      </c>
      <c r="C113" s="25" t="s">
        <v>144</v>
      </c>
      <c r="D113" s="3">
        <v>5.5</v>
      </c>
      <c r="E113" s="3">
        <f>13*0.14</f>
        <v>1.8200000000000003</v>
      </c>
      <c r="F113" s="3"/>
    </row>
    <row r="114" spans="1:8" x14ac:dyDescent="0.25">
      <c r="A114" s="3" t="s">
        <v>282</v>
      </c>
      <c r="B114" s="2" t="s">
        <v>130</v>
      </c>
      <c r="C114" s="25" t="s">
        <v>146</v>
      </c>
      <c r="D114" s="3">
        <v>5.53</v>
      </c>
      <c r="E114" s="3">
        <f>10*0.14</f>
        <v>1.4000000000000001</v>
      </c>
      <c r="F114" s="3"/>
    </row>
    <row r="115" spans="1:8" x14ac:dyDescent="0.25">
      <c r="A115" s="3" t="s">
        <v>282</v>
      </c>
      <c r="B115" s="2" t="s">
        <v>130</v>
      </c>
      <c r="C115" s="25" t="s">
        <v>147</v>
      </c>
      <c r="D115" s="3">
        <v>5.53</v>
      </c>
      <c r="E115" s="3">
        <f>22*0.14</f>
        <v>3.08</v>
      </c>
      <c r="F115" s="3"/>
    </row>
    <row r="116" spans="1:8" x14ac:dyDescent="0.25">
      <c r="A116" s="3" t="s">
        <v>282</v>
      </c>
      <c r="B116" s="2" t="s">
        <v>130</v>
      </c>
      <c r="C116" s="25" t="s">
        <v>149</v>
      </c>
      <c r="D116" s="3">
        <v>5.55</v>
      </c>
      <c r="E116" s="3">
        <f>33*0.14</f>
        <v>4.62</v>
      </c>
      <c r="F116" s="3"/>
    </row>
    <row r="117" spans="1:8" x14ac:dyDescent="0.25">
      <c r="A117" s="3" t="s">
        <v>282</v>
      </c>
      <c r="B117" s="2" t="s">
        <v>130</v>
      </c>
      <c r="C117" s="25" t="s">
        <v>148</v>
      </c>
      <c r="D117" s="3">
        <v>5.55</v>
      </c>
      <c r="E117" s="3">
        <f>40*0.14</f>
        <v>5.6000000000000005</v>
      </c>
      <c r="F117" s="3"/>
    </row>
    <row r="118" spans="1:8" x14ac:dyDescent="0.25">
      <c r="B118" s="2"/>
      <c r="C118" s="25"/>
    </row>
    <row r="119" spans="1:8" x14ac:dyDescent="0.25">
      <c r="A119" s="3" t="s">
        <v>46</v>
      </c>
      <c r="B119" s="2" t="s">
        <v>79</v>
      </c>
      <c r="C119" s="2" t="s">
        <v>78</v>
      </c>
      <c r="D119" s="3">
        <v>0.4</v>
      </c>
      <c r="E119" s="3">
        <f>2*0.33</f>
        <v>0.66</v>
      </c>
      <c r="F119" s="1"/>
      <c r="G119" s="9" t="s">
        <v>108</v>
      </c>
      <c r="H119" s="9" t="s">
        <v>193</v>
      </c>
    </row>
    <row r="120" spans="1:8" x14ac:dyDescent="0.25">
      <c r="A120" s="3" t="s">
        <v>46</v>
      </c>
      <c r="B120" s="2" t="s">
        <v>79</v>
      </c>
      <c r="C120" s="2" t="s">
        <v>80</v>
      </c>
      <c r="D120" s="3">
        <v>0.4</v>
      </c>
      <c r="E120" s="3">
        <f>9*0.33</f>
        <v>2.97</v>
      </c>
      <c r="F120" s="3"/>
    </row>
    <row r="121" spans="1:8" x14ac:dyDescent="0.25">
      <c r="A121" s="3" t="s">
        <v>46</v>
      </c>
      <c r="B121" s="2" t="s">
        <v>79</v>
      </c>
      <c r="C121" s="2" t="s">
        <v>81</v>
      </c>
      <c r="D121" s="3">
        <v>0.45</v>
      </c>
      <c r="E121" s="3">
        <f>7*0.33</f>
        <v>2.31</v>
      </c>
      <c r="F121" s="3"/>
    </row>
    <row r="122" spans="1:8" x14ac:dyDescent="0.25">
      <c r="A122" s="3" t="s">
        <v>46</v>
      </c>
      <c r="B122" s="2" t="s">
        <v>79</v>
      </c>
      <c r="C122" s="2" t="s">
        <v>44</v>
      </c>
      <c r="D122" s="1">
        <v>0.48</v>
      </c>
      <c r="E122" s="3">
        <f>4*0.33</f>
        <v>1.32</v>
      </c>
      <c r="F122" s="1"/>
    </row>
    <row r="123" spans="1:8" x14ac:dyDescent="0.25">
      <c r="A123" s="3" t="s">
        <v>46</v>
      </c>
      <c r="B123" s="2" t="s">
        <v>79</v>
      </c>
      <c r="C123" s="2" t="s">
        <v>82</v>
      </c>
      <c r="D123" s="1">
        <v>0.48</v>
      </c>
      <c r="E123" s="3">
        <f>2*0.33</f>
        <v>0.66</v>
      </c>
      <c r="F123" s="3"/>
    </row>
    <row r="124" spans="1:8" x14ac:dyDescent="0.25">
      <c r="A124" s="3" t="s">
        <v>46</v>
      </c>
      <c r="B124" s="2" t="s">
        <v>79</v>
      </c>
      <c r="C124" s="2" t="s">
        <v>83</v>
      </c>
      <c r="D124" s="1">
        <v>0.5</v>
      </c>
      <c r="E124" s="3">
        <v>1.5</v>
      </c>
      <c r="F124" s="3"/>
    </row>
    <row r="125" spans="1:8" x14ac:dyDescent="0.25">
      <c r="A125" s="3" t="s">
        <v>46</v>
      </c>
      <c r="B125" s="2" t="s">
        <v>79</v>
      </c>
      <c r="C125" s="2" t="s">
        <v>84</v>
      </c>
      <c r="D125" s="3">
        <v>0.53</v>
      </c>
      <c r="E125" s="3">
        <f>12*0.33</f>
        <v>3.96</v>
      </c>
      <c r="F125" s="3"/>
    </row>
    <row r="126" spans="1:8" x14ac:dyDescent="0.25">
      <c r="A126" s="3" t="s">
        <v>46</v>
      </c>
      <c r="B126" s="2" t="s">
        <v>79</v>
      </c>
      <c r="C126" s="2" t="s">
        <v>85</v>
      </c>
      <c r="D126" s="3">
        <v>0.55000000000000004</v>
      </c>
      <c r="E126" s="3">
        <f>8*0.33</f>
        <v>2.64</v>
      </c>
      <c r="F126" s="3"/>
    </row>
    <row r="127" spans="1:8" x14ac:dyDescent="0.25">
      <c r="A127" s="3" t="s">
        <v>46</v>
      </c>
      <c r="B127" s="2" t="s">
        <v>79</v>
      </c>
      <c r="C127" s="2" t="s">
        <v>86</v>
      </c>
      <c r="D127" s="3">
        <v>0.57999999999999996</v>
      </c>
      <c r="E127" s="3">
        <v>3.9</v>
      </c>
      <c r="F127" s="3"/>
    </row>
    <row r="128" spans="1:8" x14ac:dyDescent="0.25">
      <c r="A128" s="3" t="s">
        <v>46</v>
      </c>
      <c r="B128" s="2" t="s">
        <v>79</v>
      </c>
      <c r="C128" s="2" t="s">
        <v>45</v>
      </c>
      <c r="D128" s="1">
        <v>0.57999999999999996</v>
      </c>
      <c r="E128" s="1">
        <f>2*0.33</f>
        <v>0.66</v>
      </c>
      <c r="F128" s="1"/>
    </row>
    <row r="129" spans="1:22" x14ac:dyDescent="0.25">
      <c r="B129" s="2"/>
      <c r="C129" s="2"/>
    </row>
    <row r="130" spans="1:22" x14ac:dyDescent="0.25">
      <c r="A130" s="3" t="s">
        <v>109</v>
      </c>
      <c r="B130" s="2" t="s">
        <v>110</v>
      </c>
      <c r="C130" s="25" t="s">
        <v>111</v>
      </c>
      <c r="D130" s="3">
        <v>0.78</v>
      </c>
      <c r="E130" s="3">
        <f>17*0.35</f>
        <v>5.9499999999999993</v>
      </c>
      <c r="F130" s="1"/>
      <c r="G130" s="9" t="s">
        <v>108</v>
      </c>
      <c r="H130" s="9" t="s">
        <v>194</v>
      </c>
    </row>
    <row r="131" spans="1:22" x14ac:dyDescent="0.25">
      <c r="A131" s="3" t="s">
        <v>109</v>
      </c>
      <c r="B131" s="2" t="s">
        <v>110</v>
      </c>
      <c r="C131" s="25" t="s">
        <v>112</v>
      </c>
      <c r="D131" s="3">
        <v>0.8</v>
      </c>
      <c r="E131" s="3">
        <f>19*0.35</f>
        <v>6.6499999999999995</v>
      </c>
      <c r="F131" s="3"/>
    </row>
    <row r="132" spans="1:22" x14ac:dyDescent="0.25">
      <c r="A132" s="3" t="s">
        <v>109</v>
      </c>
      <c r="B132" s="2" t="s">
        <v>110</v>
      </c>
      <c r="C132" s="25" t="s">
        <v>115</v>
      </c>
      <c r="D132" s="3">
        <v>0.98</v>
      </c>
      <c r="E132" s="3">
        <f>19*0.35</f>
        <v>6.6499999999999995</v>
      </c>
      <c r="F132" s="3"/>
    </row>
    <row r="133" spans="1:22" x14ac:dyDescent="0.25">
      <c r="A133" s="3" t="s">
        <v>109</v>
      </c>
      <c r="B133" s="2" t="s">
        <v>110</v>
      </c>
      <c r="C133" s="25" t="s">
        <v>116</v>
      </c>
      <c r="D133" s="3">
        <v>1.53</v>
      </c>
      <c r="E133" s="3">
        <f>20*0.35</f>
        <v>7</v>
      </c>
      <c r="F133" s="3"/>
    </row>
    <row r="134" spans="1:22" x14ac:dyDescent="0.25">
      <c r="A134" s="3" t="s">
        <v>109</v>
      </c>
      <c r="B134" s="2" t="s">
        <v>110</v>
      </c>
      <c r="C134" s="25" t="s">
        <v>113</v>
      </c>
      <c r="D134" s="3">
        <v>0.88</v>
      </c>
      <c r="E134" s="3">
        <f>5*0.38</f>
        <v>1.9</v>
      </c>
    </row>
    <row r="135" spans="1:22" x14ac:dyDescent="0.25">
      <c r="A135" s="3" t="s">
        <v>109</v>
      </c>
      <c r="B135" s="2" t="s">
        <v>110</v>
      </c>
      <c r="C135" s="25" t="s">
        <v>114</v>
      </c>
      <c r="D135" s="3">
        <v>0.9</v>
      </c>
      <c r="E135" s="3">
        <f>3*0.35</f>
        <v>1.0499999999999998</v>
      </c>
      <c r="F135" s="3"/>
    </row>
    <row r="136" spans="1:22" x14ac:dyDescent="0.25">
      <c r="B136" s="2"/>
      <c r="C136" s="2"/>
    </row>
    <row r="137" spans="1:22" x14ac:dyDescent="0.25">
      <c r="A137" s="3" t="s">
        <v>117</v>
      </c>
      <c r="B137" s="2" t="s">
        <v>118</v>
      </c>
      <c r="C137" s="25" t="s">
        <v>119</v>
      </c>
      <c r="D137" s="3">
        <v>0.43</v>
      </c>
      <c r="E137" s="3">
        <v>2.54</v>
      </c>
      <c r="F137" s="1"/>
      <c r="G137" s="20" t="s">
        <v>296</v>
      </c>
      <c r="H137" s="9" t="s">
        <v>195</v>
      </c>
    </row>
    <row r="138" spans="1:22" x14ac:dyDescent="0.25">
      <c r="A138" s="3" t="s">
        <v>117</v>
      </c>
      <c r="B138" s="2" t="s">
        <v>118</v>
      </c>
      <c r="C138" s="25" t="s">
        <v>120</v>
      </c>
      <c r="D138" s="3">
        <v>0.45</v>
      </c>
      <c r="E138" s="3">
        <v>4.72</v>
      </c>
      <c r="F138" s="3"/>
    </row>
    <row r="139" spans="1:22" x14ac:dyDescent="0.25">
      <c r="A139" s="3" t="s">
        <v>117</v>
      </c>
      <c r="B139" s="2" t="s">
        <v>118</v>
      </c>
      <c r="C139" s="25" t="s">
        <v>121</v>
      </c>
      <c r="D139" s="3">
        <v>0.45</v>
      </c>
      <c r="E139" s="3">
        <v>2.8</v>
      </c>
      <c r="F139" s="3"/>
    </row>
    <row r="140" spans="1:22" x14ac:dyDescent="0.25">
      <c r="A140" s="3" t="s">
        <v>117</v>
      </c>
      <c r="B140" s="2" t="s">
        <v>118</v>
      </c>
      <c r="C140" s="25" t="s">
        <v>122</v>
      </c>
      <c r="D140" s="3">
        <v>0.48</v>
      </c>
      <c r="E140" s="3">
        <v>1.54</v>
      </c>
      <c r="F140" s="3"/>
      <c r="V140" s="3"/>
    </row>
    <row r="141" spans="1:22" x14ac:dyDescent="0.25">
      <c r="A141" s="3" t="s">
        <v>117</v>
      </c>
      <c r="B141" s="2" t="s">
        <v>118</v>
      </c>
      <c r="C141" s="25" t="s">
        <v>123</v>
      </c>
      <c r="D141" s="3">
        <v>0.48</v>
      </c>
      <c r="E141" s="3">
        <v>3.11</v>
      </c>
      <c r="F141" s="3"/>
      <c r="U141" s="3"/>
      <c r="V141" s="3"/>
    </row>
    <row r="142" spans="1:22" s="3" customFormat="1" x14ac:dyDescent="0.25">
      <c r="A142" s="3" t="s">
        <v>117</v>
      </c>
      <c r="B142" s="2" t="s">
        <v>118</v>
      </c>
      <c r="C142" s="25" t="s">
        <v>124</v>
      </c>
      <c r="D142" s="3">
        <v>0.55000000000000004</v>
      </c>
      <c r="E142" s="3">
        <v>5.89</v>
      </c>
      <c r="G142" s="9"/>
      <c r="H142" s="9"/>
      <c r="I142"/>
      <c r="J142"/>
      <c r="K142"/>
      <c r="L142"/>
      <c r="M142"/>
      <c r="N142"/>
      <c r="O142"/>
      <c r="P142"/>
      <c r="Q142"/>
      <c r="R142"/>
      <c r="S142"/>
      <c r="T142"/>
      <c r="V142"/>
    </row>
    <row r="143" spans="1:22" s="3" customFormat="1" x14ac:dyDescent="0.25">
      <c r="A143" s="3" t="s">
        <v>117</v>
      </c>
      <c r="B143" s="2" t="s">
        <v>118</v>
      </c>
      <c r="C143" s="25" t="s">
        <v>125</v>
      </c>
      <c r="D143" s="3">
        <v>0.5</v>
      </c>
      <c r="E143" s="3">
        <v>3.86</v>
      </c>
      <c r="G143" s="9"/>
      <c r="H143" s="9"/>
      <c r="I143"/>
      <c r="J143"/>
      <c r="K143"/>
      <c r="L143"/>
      <c r="M143"/>
      <c r="N143"/>
      <c r="O143"/>
      <c r="P143"/>
      <c r="Q143"/>
      <c r="R143"/>
      <c r="S143"/>
      <c r="U143"/>
      <c r="V143"/>
    </row>
    <row r="144" spans="1:22" x14ac:dyDescent="0.25">
      <c r="A144" s="3" t="s">
        <v>117</v>
      </c>
      <c r="B144" s="2" t="s">
        <v>118</v>
      </c>
      <c r="C144" s="25" t="s">
        <v>126</v>
      </c>
      <c r="D144" s="3">
        <v>0.5</v>
      </c>
      <c r="E144" s="3">
        <v>6.9</v>
      </c>
      <c r="F144" s="3"/>
      <c r="J144" s="3"/>
      <c r="K144" s="3"/>
      <c r="L144" s="3"/>
      <c r="M144" s="3"/>
      <c r="T144" s="3"/>
    </row>
    <row r="145" spans="1:19" x14ac:dyDescent="0.25">
      <c r="A145" s="3" t="s">
        <v>117</v>
      </c>
      <c r="B145" s="2" t="s">
        <v>118</v>
      </c>
      <c r="C145" s="25" t="s">
        <v>128</v>
      </c>
      <c r="D145" s="3">
        <v>0.55000000000000004</v>
      </c>
      <c r="E145" s="3">
        <v>14.17</v>
      </c>
      <c r="F145" s="3"/>
      <c r="J145" s="3"/>
      <c r="K145" s="3"/>
      <c r="L145" s="3"/>
      <c r="M145" s="3"/>
      <c r="R145" s="3"/>
      <c r="S145" s="3"/>
    </row>
    <row r="146" spans="1:19" x14ac:dyDescent="0.25">
      <c r="A146" s="3" t="s">
        <v>117</v>
      </c>
      <c r="B146" s="2" t="s">
        <v>118</v>
      </c>
      <c r="C146" s="25" t="s">
        <v>124</v>
      </c>
      <c r="D146" s="3">
        <v>0.48</v>
      </c>
      <c r="E146" s="3">
        <v>2.17</v>
      </c>
      <c r="F146" s="3"/>
      <c r="I146" s="3"/>
      <c r="N146" s="3"/>
      <c r="O146" s="3"/>
      <c r="P146" s="3"/>
      <c r="Q146" s="3"/>
      <c r="R146" s="3"/>
      <c r="S146" s="3"/>
    </row>
    <row r="147" spans="1:19" x14ac:dyDescent="0.25">
      <c r="A147" s="3" t="s">
        <v>117</v>
      </c>
      <c r="B147" s="2" t="s">
        <v>118</v>
      </c>
      <c r="C147" s="25" t="s">
        <v>127</v>
      </c>
      <c r="D147" s="3">
        <v>0.5</v>
      </c>
      <c r="E147" s="3">
        <v>1.3</v>
      </c>
      <c r="F147" s="3"/>
      <c r="I147" s="3"/>
      <c r="N147" s="3"/>
      <c r="O147" s="3"/>
      <c r="P147" s="3"/>
      <c r="Q147" s="3"/>
    </row>
    <row r="148" spans="1:19" x14ac:dyDescent="0.25">
      <c r="A148" s="3" t="s">
        <v>117</v>
      </c>
      <c r="B148" s="2" t="s">
        <v>118</v>
      </c>
      <c r="C148" s="25" t="s">
        <v>129</v>
      </c>
      <c r="D148" s="3">
        <v>0.6</v>
      </c>
      <c r="E148" s="3">
        <v>1.54</v>
      </c>
      <c r="F148" s="3" t="s">
        <v>88</v>
      </c>
    </row>
    <row r="149" spans="1:19" x14ac:dyDescent="0.25">
      <c r="A149" s="3"/>
      <c r="B149" s="2"/>
      <c r="C149" s="25"/>
      <c r="D149" s="3"/>
      <c r="E149" s="3"/>
      <c r="F149" s="3"/>
    </row>
    <row r="150" spans="1:19" x14ac:dyDescent="0.25">
      <c r="A150" s="3" t="s">
        <v>224</v>
      </c>
      <c r="B150" s="2" t="s">
        <v>225</v>
      </c>
      <c r="C150" s="25" t="s">
        <v>226</v>
      </c>
      <c r="D150" s="3">
        <v>15.85</v>
      </c>
      <c r="E150" s="3">
        <f>1*1.61</f>
        <v>1.61</v>
      </c>
      <c r="G150" s="9" t="s">
        <v>108</v>
      </c>
      <c r="H150" s="9" t="s">
        <v>196</v>
      </c>
    </row>
    <row r="151" spans="1:19" x14ac:dyDescent="0.25">
      <c r="A151" s="3" t="s">
        <v>224</v>
      </c>
      <c r="B151" s="2" t="s">
        <v>225</v>
      </c>
      <c r="C151" s="25" t="s">
        <v>227</v>
      </c>
      <c r="D151" s="3">
        <v>15.85</v>
      </c>
      <c r="E151" s="3">
        <f>1.5*1.61</f>
        <v>2.415</v>
      </c>
    </row>
    <row r="152" spans="1:19" x14ac:dyDescent="0.25">
      <c r="A152" s="3" t="s">
        <v>224</v>
      </c>
      <c r="B152" s="2" t="s">
        <v>225</v>
      </c>
      <c r="C152" s="25" t="s">
        <v>228</v>
      </c>
      <c r="D152" s="3">
        <v>15.9</v>
      </c>
      <c r="E152" s="3">
        <f>1*1.61</f>
        <v>1.61</v>
      </c>
    </row>
    <row r="153" spans="1:19" x14ac:dyDescent="0.25">
      <c r="A153" s="3" t="s">
        <v>224</v>
      </c>
      <c r="B153" s="2" t="s">
        <v>225</v>
      </c>
      <c r="C153" s="25" t="s">
        <v>229</v>
      </c>
      <c r="D153" s="3">
        <v>15.95</v>
      </c>
      <c r="E153" s="3">
        <f>1*1.61</f>
        <v>1.61</v>
      </c>
    </row>
    <row r="154" spans="1:19" x14ac:dyDescent="0.25">
      <c r="A154" s="3" t="s">
        <v>224</v>
      </c>
      <c r="B154" s="2" t="s">
        <v>225</v>
      </c>
      <c r="C154" s="25" t="s">
        <v>230</v>
      </c>
      <c r="D154" s="3">
        <v>15.95</v>
      </c>
      <c r="E154" s="3">
        <f>2*1.61</f>
        <v>3.22</v>
      </c>
    </row>
    <row r="155" spans="1:19" x14ac:dyDescent="0.25">
      <c r="A155" s="3" t="s">
        <v>224</v>
      </c>
      <c r="B155" s="2" t="s">
        <v>225</v>
      </c>
      <c r="C155" s="25" t="s">
        <v>231</v>
      </c>
      <c r="D155" s="3">
        <v>16</v>
      </c>
      <c r="E155" s="3">
        <f>1*1.61</f>
        <v>1.61</v>
      </c>
    </row>
    <row r="156" spans="1:19" x14ac:dyDescent="0.25">
      <c r="A156" s="3" t="s">
        <v>224</v>
      </c>
      <c r="B156" s="2" t="s">
        <v>225</v>
      </c>
      <c r="C156" s="25" t="s">
        <v>232</v>
      </c>
      <c r="D156" s="3">
        <v>16</v>
      </c>
      <c r="E156" s="3">
        <f>1*1.61</f>
        <v>1.61</v>
      </c>
    </row>
    <row r="157" spans="1:19" x14ac:dyDescent="0.25">
      <c r="A157" s="3" t="s">
        <v>224</v>
      </c>
      <c r="B157" s="2" t="s">
        <v>225</v>
      </c>
      <c r="C157" s="25" t="s">
        <v>233</v>
      </c>
      <c r="D157" s="3">
        <v>16.05</v>
      </c>
      <c r="E157" s="3">
        <f>1*1.61</f>
        <v>1.61</v>
      </c>
    </row>
    <row r="158" spans="1:19" x14ac:dyDescent="0.25">
      <c r="A158" s="3" t="s">
        <v>224</v>
      </c>
      <c r="B158" s="2" t="s">
        <v>225</v>
      </c>
      <c r="C158" s="25" t="s">
        <v>234</v>
      </c>
      <c r="D158" s="3">
        <v>16.100000000000001</v>
      </c>
      <c r="E158" s="3">
        <f>2*1.61</f>
        <v>3.22</v>
      </c>
    </row>
    <row r="159" spans="1:19" x14ac:dyDescent="0.25">
      <c r="A159" s="3" t="s">
        <v>224</v>
      </c>
      <c r="B159" s="2" t="s">
        <v>225</v>
      </c>
      <c r="C159" s="25" t="s">
        <v>235</v>
      </c>
      <c r="D159" s="3">
        <v>16.100000000000001</v>
      </c>
      <c r="E159" s="3">
        <f>3*1.61</f>
        <v>4.83</v>
      </c>
    </row>
    <row r="160" spans="1:19" x14ac:dyDescent="0.25">
      <c r="A160" s="3" t="s">
        <v>224</v>
      </c>
      <c r="B160" s="2" t="s">
        <v>225</v>
      </c>
      <c r="C160" s="25" t="s">
        <v>243</v>
      </c>
      <c r="D160" s="3">
        <v>15.65</v>
      </c>
      <c r="E160" s="3">
        <f>5*1.61</f>
        <v>8.0500000000000007</v>
      </c>
      <c r="F160" s="3"/>
    </row>
    <row r="161" spans="1:8" x14ac:dyDescent="0.25">
      <c r="A161" s="3" t="s">
        <v>224</v>
      </c>
      <c r="B161" s="2" t="s">
        <v>225</v>
      </c>
      <c r="C161" s="25" t="s">
        <v>244</v>
      </c>
      <c r="D161" s="3">
        <v>15.75</v>
      </c>
      <c r="E161" s="3">
        <f>4*1.61</f>
        <v>6.44</v>
      </c>
      <c r="F161" s="3"/>
    </row>
    <row r="162" spans="1:8" x14ac:dyDescent="0.25">
      <c r="A162" s="3" t="s">
        <v>224</v>
      </c>
      <c r="B162" s="2" t="s">
        <v>225</v>
      </c>
      <c r="C162" s="25" t="s">
        <v>236</v>
      </c>
      <c r="D162" s="3">
        <v>16.149999999999999</v>
      </c>
      <c r="E162" s="3">
        <f>4*1.61</f>
        <v>6.44</v>
      </c>
      <c r="F162" s="3"/>
    </row>
    <row r="163" spans="1:8" x14ac:dyDescent="0.25">
      <c r="A163" s="3" t="s">
        <v>224</v>
      </c>
      <c r="B163" s="2" t="s">
        <v>225</v>
      </c>
      <c r="C163" s="25" t="s">
        <v>237</v>
      </c>
      <c r="D163" s="3">
        <v>16.25</v>
      </c>
      <c r="E163" s="3">
        <f>10*1.61</f>
        <v>16.100000000000001</v>
      </c>
      <c r="F163" s="3"/>
    </row>
    <row r="164" spans="1:8" x14ac:dyDescent="0.25">
      <c r="A164" s="3" t="s">
        <v>224</v>
      </c>
      <c r="B164" s="2" t="s">
        <v>225</v>
      </c>
      <c r="C164" s="25" t="s">
        <v>238</v>
      </c>
      <c r="D164" s="3">
        <v>17.350000000000001</v>
      </c>
      <c r="E164" s="3">
        <f>17*1.61</f>
        <v>27.37</v>
      </c>
      <c r="F164" s="3"/>
    </row>
    <row r="165" spans="1:8" x14ac:dyDescent="0.25">
      <c r="A165" s="3" t="s">
        <v>224</v>
      </c>
      <c r="B165" s="2" t="s">
        <v>225</v>
      </c>
      <c r="C165" s="25" t="s">
        <v>239</v>
      </c>
      <c r="D165" s="3">
        <v>22.2</v>
      </c>
      <c r="E165" s="3">
        <f>3*1.61</f>
        <v>4.83</v>
      </c>
      <c r="F165" s="3" t="s">
        <v>88</v>
      </c>
    </row>
    <row r="166" spans="1:8" x14ac:dyDescent="0.25">
      <c r="A166" s="3" t="s">
        <v>224</v>
      </c>
      <c r="B166" s="2" t="s">
        <v>225</v>
      </c>
      <c r="C166" s="25" t="s">
        <v>240</v>
      </c>
      <c r="D166" s="3">
        <v>22.35</v>
      </c>
      <c r="E166" s="3">
        <f>4*1.61</f>
        <v>6.44</v>
      </c>
      <c r="F166" s="3" t="s">
        <v>88</v>
      </c>
    </row>
    <row r="167" spans="1:8" x14ac:dyDescent="0.25">
      <c r="A167" s="3" t="s">
        <v>224</v>
      </c>
      <c r="B167" s="2" t="s">
        <v>225</v>
      </c>
      <c r="C167" s="25" t="s">
        <v>241</v>
      </c>
      <c r="D167" s="3">
        <v>22.75</v>
      </c>
      <c r="E167" s="3">
        <f>4*1.61</f>
        <v>6.44</v>
      </c>
      <c r="F167" s="3" t="s">
        <v>88</v>
      </c>
    </row>
    <row r="168" spans="1:8" x14ac:dyDescent="0.25">
      <c r="A168" s="3" t="s">
        <v>224</v>
      </c>
      <c r="B168" s="2" t="s">
        <v>225</v>
      </c>
      <c r="C168" s="25" t="s">
        <v>242</v>
      </c>
      <c r="D168" s="3">
        <v>20.2</v>
      </c>
      <c r="E168" s="3">
        <f>3*1.61</f>
        <v>4.83</v>
      </c>
      <c r="F168" s="3" t="s">
        <v>88</v>
      </c>
    </row>
    <row r="169" spans="1:8" x14ac:dyDescent="0.25">
      <c r="B169" s="2"/>
      <c r="C169" s="25"/>
    </row>
    <row r="170" spans="1:8" x14ac:dyDescent="0.25">
      <c r="A170" s="3" t="s">
        <v>246</v>
      </c>
      <c r="B170" s="2" t="s">
        <v>247</v>
      </c>
      <c r="C170" s="25" t="s">
        <v>248</v>
      </c>
      <c r="D170" s="3">
        <v>15.9</v>
      </c>
      <c r="E170" s="17">
        <v>6.56</v>
      </c>
      <c r="G170" s="20" t="s">
        <v>296</v>
      </c>
      <c r="H170" s="9" t="s">
        <v>201</v>
      </c>
    </row>
    <row r="171" spans="1:8" x14ac:dyDescent="0.25">
      <c r="A171" s="3" t="s">
        <v>246</v>
      </c>
      <c r="B171" s="2" t="s">
        <v>247</v>
      </c>
      <c r="C171" s="25" t="s">
        <v>249</v>
      </c>
      <c r="D171" s="3">
        <v>16.25</v>
      </c>
      <c r="E171" s="17">
        <v>6.56</v>
      </c>
    </row>
    <row r="172" spans="1:8" x14ac:dyDescent="0.25">
      <c r="A172" s="3" t="s">
        <v>246</v>
      </c>
      <c r="B172" s="2" t="s">
        <v>247</v>
      </c>
      <c r="C172" s="25" t="s">
        <v>250</v>
      </c>
      <c r="D172" s="3">
        <v>18.809999999999999</v>
      </c>
      <c r="E172" s="3">
        <f>33*0.59</f>
        <v>19.47</v>
      </c>
    </row>
    <row r="173" spans="1:8" x14ac:dyDescent="0.25">
      <c r="A173" s="3" t="s">
        <v>246</v>
      </c>
      <c r="B173" s="2" t="s">
        <v>247</v>
      </c>
      <c r="C173" s="25" t="s">
        <v>251</v>
      </c>
      <c r="D173" s="3">
        <v>16.3</v>
      </c>
      <c r="E173" s="3">
        <v>54.8</v>
      </c>
      <c r="F173" s="3"/>
    </row>
    <row r="174" spans="1:8" x14ac:dyDescent="0.25">
      <c r="B174" s="2"/>
      <c r="C174" s="25"/>
    </row>
    <row r="175" spans="1:8" x14ac:dyDescent="0.25">
      <c r="A175" s="3" t="s">
        <v>246</v>
      </c>
      <c r="B175" s="2" t="s">
        <v>260</v>
      </c>
      <c r="C175" s="25" t="s">
        <v>261</v>
      </c>
      <c r="D175" s="3">
        <v>22</v>
      </c>
      <c r="E175" s="3">
        <f>2*0.91</f>
        <v>1.82</v>
      </c>
      <c r="G175" s="9" t="s">
        <v>108</v>
      </c>
      <c r="H175" s="9" t="s">
        <v>209</v>
      </c>
    </row>
    <row r="176" spans="1:8" x14ac:dyDescent="0.25">
      <c r="A176" s="3" t="s">
        <v>246</v>
      </c>
      <c r="B176" s="2" t="s">
        <v>260</v>
      </c>
      <c r="C176" s="25" t="s">
        <v>262</v>
      </c>
      <c r="D176" s="3">
        <v>22.1</v>
      </c>
      <c r="E176" s="3">
        <f>6.5*0.91</f>
        <v>5.915</v>
      </c>
    </row>
    <row r="177" spans="1:22" x14ac:dyDescent="0.25">
      <c r="A177" s="3" t="s">
        <v>246</v>
      </c>
      <c r="B177" s="2" t="s">
        <v>260</v>
      </c>
      <c r="C177" s="25" t="s">
        <v>263</v>
      </c>
      <c r="D177" s="3">
        <v>22.1</v>
      </c>
      <c r="E177" s="3">
        <f>1.5*0.91</f>
        <v>1.365</v>
      </c>
    </row>
    <row r="178" spans="1:22" x14ac:dyDescent="0.25">
      <c r="A178" s="3" t="s">
        <v>246</v>
      </c>
      <c r="B178" s="2" t="s">
        <v>260</v>
      </c>
      <c r="C178" s="25" t="s">
        <v>67</v>
      </c>
      <c r="D178" s="3">
        <v>22.98</v>
      </c>
      <c r="E178" s="3">
        <f>7*0.91</f>
        <v>6.37</v>
      </c>
    </row>
    <row r="179" spans="1:22" x14ac:dyDescent="0.25">
      <c r="A179" s="3" t="s">
        <v>246</v>
      </c>
      <c r="B179" s="2" t="s">
        <v>260</v>
      </c>
      <c r="C179" s="25" t="s">
        <v>264</v>
      </c>
      <c r="D179" s="3">
        <v>24.15</v>
      </c>
      <c r="E179" s="3">
        <f>1.5*0.91</f>
        <v>1.365</v>
      </c>
    </row>
    <row r="180" spans="1:22" x14ac:dyDescent="0.25">
      <c r="A180" s="3" t="s">
        <v>246</v>
      </c>
      <c r="B180" s="2" t="s">
        <v>260</v>
      </c>
      <c r="C180" s="25" t="s">
        <v>265</v>
      </c>
      <c r="D180" s="3">
        <v>25.65</v>
      </c>
      <c r="E180" s="3">
        <f>7*0.91</f>
        <v>6.37</v>
      </c>
    </row>
    <row r="181" spans="1:22" x14ac:dyDescent="0.25">
      <c r="A181" s="3" t="s">
        <v>246</v>
      </c>
      <c r="B181" s="2" t="s">
        <v>260</v>
      </c>
      <c r="C181" s="25" t="s">
        <v>266</v>
      </c>
      <c r="D181" s="3">
        <v>26.3</v>
      </c>
      <c r="E181" s="3">
        <f>15*0.91</f>
        <v>13.65</v>
      </c>
    </row>
    <row r="182" spans="1:22" x14ac:dyDescent="0.25">
      <c r="A182" s="3" t="s">
        <v>246</v>
      </c>
      <c r="B182" s="2" t="s">
        <v>260</v>
      </c>
      <c r="C182" s="25" t="s">
        <v>267</v>
      </c>
      <c r="D182" s="3">
        <v>27.47</v>
      </c>
      <c r="E182" s="3">
        <f>7*0.91</f>
        <v>6.37</v>
      </c>
    </row>
    <row r="183" spans="1:22" x14ac:dyDescent="0.25">
      <c r="A183" s="3" t="s">
        <v>246</v>
      </c>
      <c r="B183" s="2" t="s">
        <v>260</v>
      </c>
      <c r="C183" s="25" t="s">
        <v>268</v>
      </c>
      <c r="D183" s="3">
        <v>28.2</v>
      </c>
      <c r="E183" s="3">
        <f>16*0.91</f>
        <v>14.56</v>
      </c>
    </row>
    <row r="184" spans="1:22" x14ac:dyDescent="0.25">
      <c r="A184" s="3" t="s">
        <v>246</v>
      </c>
      <c r="B184" s="2" t="s">
        <v>260</v>
      </c>
      <c r="C184" s="25" t="s">
        <v>269</v>
      </c>
      <c r="D184" s="3">
        <v>29.12</v>
      </c>
      <c r="E184" s="3">
        <f>22*0.91</f>
        <v>20.02</v>
      </c>
      <c r="V184" s="3"/>
    </row>
    <row r="185" spans="1:22" x14ac:dyDescent="0.25">
      <c r="A185" s="3" t="s">
        <v>246</v>
      </c>
      <c r="B185" s="2" t="s">
        <v>260</v>
      </c>
      <c r="C185" s="25" t="s">
        <v>128</v>
      </c>
      <c r="D185" s="3">
        <v>29.3</v>
      </c>
      <c r="E185" s="3">
        <f>16*0.91</f>
        <v>14.56</v>
      </c>
      <c r="U185" s="3"/>
    </row>
    <row r="186" spans="1:22" s="3" customFormat="1" x14ac:dyDescent="0.25">
      <c r="A186" s="3" t="s">
        <v>246</v>
      </c>
      <c r="B186" s="2" t="s">
        <v>260</v>
      </c>
      <c r="C186" s="25" t="s">
        <v>270</v>
      </c>
      <c r="D186" s="3">
        <v>29.94</v>
      </c>
      <c r="E186" s="3">
        <f>22*0.91</f>
        <v>20.02</v>
      </c>
      <c r="F186"/>
      <c r="G186" s="9"/>
      <c r="H186" s="9"/>
      <c r="I186"/>
      <c r="J186"/>
      <c r="K186"/>
      <c r="L186"/>
      <c r="M186"/>
      <c r="N186"/>
      <c r="O186"/>
      <c r="P186"/>
      <c r="Q186"/>
      <c r="R186"/>
      <c r="S186"/>
      <c r="T186"/>
      <c r="U186"/>
      <c r="V186"/>
    </row>
    <row r="187" spans="1:22" x14ac:dyDescent="0.25">
      <c r="A187" s="3" t="s">
        <v>246</v>
      </c>
      <c r="B187" s="2" t="s">
        <v>260</v>
      </c>
      <c r="C187" s="25" t="s">
        <v>271</v>
      </c>
      <c r="D187" s="3">
        <v>31.2</v>
      </c>
      <c r="E187" s="3">
        <f>16*0.91</f>
        <v>14.56</v>
      </c>
      <c r="T187" s="3"/>
    </row>
    <row r="188" spans="1:22" x14ac:dyDescent="0.25">
      <c r="A188" s="3" t="s">
        <v>246</v>
      </c>
      <c r="B188" s="2" t="s">
        <v>260</v>
      </c>
      <c r="C188" s="25" t="s">
        <v>272</v>
      </c>
      <c r="D188" s="3">
        <v>32.32</v>
      </c>
      <c r="E188" s="3">
        <f>6*0.91</f>
        <v>5.46</v>
      </c>
      <c r="J188" s="3"/>
      <c r="K188" s="3"/>
      <c r="L188" s="3"/>
      <c r="M188" s="3"/>
    </row>
    <row r="189" spans="1:22" x14ac:dyDescent="0.25">
      <c r="A189" s="3" t="s">
        <v>246</v>
      </c>
      <c r="B189" s="2" t="s">
        <v>260</v>
      </c>
      <c r="C189" s="25" t="s">
        <v>273</v>
      </c>
      <c r="D189" s="3">
        <v>36</v>
      </c>
      <c r="E189" s="3">
        <f>16*0.91</f>
        <v>14.56</v>
      </c>
      <c r="F189" s="3"/>
      <c r="R189" s="3"/>
      <c r="S189" s="3"/>
    </row>
    <row r="190" spans="1:22" x14ac:dyDescent="0.25">
      <c r="A190" s="3"/>
      <c r="B190" s="1"/>
      <c r="C190" s="1"/>
      <c r="D190" s="1"/>
      <c r="E190" s="3"/>
      <c r="F190" s="3"/>
      <c r="N190" s="3"/>
      <c r="O190" s="3"/>
      <c r="P190" s="3"/>
      <c r="Q190" s="3"/>
    </row>
    <row r="191" spans="1:22" x14ac:dyDescent="0.25">
      <c r="A191" s="5" t="s">
        <v>222</v>
      </c>
      <c r="B191" s="3"/>
      <c r="C191" s="1"/>
      <c r="D191" s="3"/>
      <c r="E191" s="3"/>
      <c r="F191" s="3"/>
    </row>
    <row r="192" spans="1:22" x14ac:dyDescent="0.25">
      <c r="C192" s="1"/>
    </row>
    <row r="193" spans="1:8" x14ac:dyDescent="0.25">
      <c r="A193" s="3" t="s">
        <v>95</v>
      </c>
      <c r="B193" s="2" t="s">
        <v>40</v>
      </c>
      <c r="C193" s="25" t="s">
        <v>41</v>
      </c>
      <c r="D193" s="3">
        <v>4</v>
      </c>
      <c r="E193" s="3">
        <f>4*0.95</f>
        <v>3.8</v>
      </c>
      <c r="F193" s="1"/>
      <c r="G193" s="9" t="s">
        <v>108</v>
      </c>
      <c r="H193" s="9" t="s">
        <v>215</v>
      </c>
    </row>
    <row r="194" spans="1:8" x14ac:dyDescent="0.25">
      <c r="A194" s="3" t="s">
        <v>95</v>
      </c>
      <c r="B194" s="2" t="s">
        <v>40</v>
      </c>
      <c r="C194" s="25" t="s">
        <v>42</v>
      </c>
      <c r="D194" s="3">
        <v>4.1500000000000004</v>
      </c>
      <c r="E194" s="3">
        <f>1.5*0.95</f>
        <v>1.4249999999999998</v>
      </c>
      <c r="F194" s="3"/>
    </row>
    <row r="195" spans="1:8" x14ac:dyDescent="0.25">
      <c r="A195" s="3" t="s">
        <v>95</v>
      </c>
      <c r="B195" s="2" t="s">
        <v>40</v>
      </c>
      <c r="C195" s="25" t="s">
        <v>43</v>
      </c>
      <c r="D195" s="3">
        <v>4.8</v>
      </c>
      <c r="E195" s="3">
        <f>1*0.95</f>
        <v>0.95</v>
      </c>
      <c r="F195" s="3"/>
    </row>
    <row r="196" spans="1:8" x14ac:dyDescent="0.25">
      <c r="A196" s="3"/>
      <c r="B196" s="2"/>
      <c r="C196" s="2"/>
      <c r="D196" s="3"/>
      <c r="E196" s="3"/>
      <c r="F196" s="3"/>
    </row>
    <row r="197" spans="1:8" x14ac:dyDescent="0.25">
      <c r="A197" s="3" t="s">
        <v>96</v>
      </c>
      <c r="B197" s="2" t="s">
        <v>97</v>
      </c>
      <c r="C197" s="2" t="s">
        <v>98</v>
      </c>
      <c r="D197" s="3">
        <v>0.63</v>
      </c>
      <c r="E197" s="3">
        <f>28*0.4</f>
        <v>11.200000000000001</v>
      </c>
      <c r="F197" s="3"/>
      <c r="G197" s="9" t="s">
        <v>108</v>
      </c>
      <c r="H197" s="8" t="s">
        <v>245</v>
      </c>
    </row>
    <row r="198" spans="1:8" x14ac:dyDescent="0.25">
      <c r="A198" s="3" t="s">
        <v>96</v>
      </c>
      <c r="B198" s="2" t="s">
        <v>97</v>
      </c>
      <c r="C198" s="2" t="s">
        <v>99</v>
      </c>
      <c r="D198" s="3">
        <v>0.73</v>
      </c>
      <c r="E198" s="3">
        <f>13*0.4</f>
        <v>5.2</v>
      </c>
      <c r="F198" s="1"/>
      <c r="H198" s="18"/>
    </row>
    <row r="199" spans="1:8" x14ac:dyDescent="0.25">
      <c r="A199" s="3" t="s">
        <v>96</v>
      </c>
      <c r="B199" s="2" t="s">
        <v>97</v>
      </c>
      <c r="C199" s="2" t="s">
        <v>100</v>
      </c>
      <c r="D199" s="3">
        <v>1.49</v>
      </c>
      <c r="E199" s="3">
        <f>14*0.4</f>
        <v>5.6000000000000005</v>
      </c>
      <c r="F199" s="3"/>
      <c r="H199" s="18"/>
    </row>
    <row r="200" spans="1:8" x14ac:dyDescent="0.25">
      <c r="A200" s="2" t="s">
        <v>107</v>
      </c>
      <c r="B200" s="2"/>
      <c r="C200" s="2"/>
      <c r="D200" s="3"/>
      <c r="E200" s="3"/>
      <c r="F200" s="3"/>
    </row>
    <row r="201" spans="1:8" x14ac:dyDescent="0.25">
      <c r="A201" s="3" t="s">
        <v>96</v>
      </c>
      <c r="B201" s="2" t="s">
        <v>101</v>
      </c>
      <c r="C201" s="2" t="s">
        <v>102</v>
      </c>
      <c r="D201" s="3">
        <v>0.22</v>
      </c>
      <c r="E201" s="3">
        <f>46*0.4</f>
        <v>18.400000000000002</v>
      </c>
      <c r="F201" s="3"/>
      <c r="G201" s="9" t="s">
        <v>108</v>
      </c>
      <c r="H201" s="8" t="s">
        <v>245</v>
      </c>
    </row>
    <row r="202" spans="1:8" x14ac:dyDescent="0.25">
      <c r="A202" s="3" t="s">
        <v>96</v>
      </c>
      <c r="B202" s="2" t="s">
        <v>101</v>
      </c>
      <c r="C202" s="2" t="s">
        <v>103</v>
      </c>
      <c r="D202" s="3">
        <v>0.23</v>
      </c>
      <c r="E202" s="3">
        <f>19*0.4</f>
        <v>7.6000000000000005</v>
      </c>
      <c r="F202" s="3"/>
      <c r="G202" s="10"/>
      <c r="H202" s="18"/>
    </row>
    <row r="203" spans="1:8" x14ac:dyDescent="0.25">
      <c r="A203" s="3" t="s">
        <v>96</v>
      </c>
      <c r="B203" s="2" t="s">
        <v>101</v>
      </c>
      <c r="C203" s="2" t="s">
        <v>94</v>
      </c>
      <c r="D203" s="3">
        <v>0.24</v>
      </c>
      <c r="E203" s="3">
        <f>15*0.4</f>
        <v>6</v>
      </c>
      <c r="F203" s="3"/>
      <c r="H203" s="18"/>
    </row>
    <row r="204" spans="1:8" x14ac:dyDescent="0.25">
      <c r="A204" s="3" t="s">
        <v>96</v>
      </c>
      <c r="B204" s="2" t="s">
        <v>101</v>
      </c>
      <c r="C204" s="2" t="s">
        <v>104</v>
      </c>
      <c r="D204" s="3">
        <v>0.25</v>
      </c>
      <c r="E204" s="3">
        <f>15*0.4</f>
        <v>6</v>
      </c>
      <c r="F204" s="3"/>
    </row>
    <row r="205" spans="1:8" x14ac:dyDescent="0.25">
      <c r="A205" s="3" t="s">
        <v>96</v>
      </c>
      <c r="B205" s="2" t="s">
        <v>101</v>
      </c>
      <c r="C205" s="2" t="s">
        <v>105</v>
      </c>
      <c r="D205" s="3">
        <v>0.27</v>
      </c>
      <c r="E205" s="3">
        <f>4*0.4</f>
        <v>1.6</v>
      </c>
      <c r="F205" s="3"/>
    </row>
    <row r="206" spans="1:8" x14ac:dyDescent="0.25">
      <c r="A206" s="3" t="s">
        <v>96</v>
      </c>
      <c r="B206" s="2" t="s">
        <v>101</v>
      </c>
      <c r="C206" s="2" t="s">
        <v>106</v>
      </c>
      <c r="D206" s="3">
        <v>0.31</v>
      </c>
      <c r="E206" s="3">
        <f>11*0.4</f>
        <v>4.4000000000000004</v>
      </c>
      <c r="F206" s="3"/>
    </row>
    <row r="207" spans="1:8" x14ac:dyDescent="0.25">
      <c r="B207" s="2"/>
      <c r="C207" s="2"/>
    </row>
    <row r="208" spans="1:8" x14ac:dyDescent="0.25">
      <c r="A208" s="3" t="s">
        <v>89</v>
      </c>
      <c r="B208" s="2" t="s">
        <v>90</v>
      </c>
      <c r="C208" s="2" t="s">
        <v>91</v>
      </c>
      <c r="D208" s="3">
        <v>0.41</v>
      </c>
      <c r="E208" s="3">
        <v>4.5999999999999996</v>
      </c>
      <c r="F208" s="1"/>
      <c r="G208" s="9" t="s">
        <v>108</v>
      </c>
      <c r="H208" s="9" t="s">
        <v>252</v>
      </c>
    </row>
    <row r="209" spans="1:8" x14ac:dyDescent="0.25">
      <c r="A209" s="3" t="s">
        <v>89</v>
      </c>
      <c r="B209" s="2" t="s">
        <v>90</v>
      </c>
      <c r="C209" s="2" t="s">
        <v>92</v>
      </c>
      <c r="D209" s="3">
        <v>0.44</v>
      </c>
      <c r="E209" s="3">
        <v>2.2999999999999998</v>
      </c>
      <c r="F209" s="3"/>
    </row>
    <row r="210" spans="1:8" x14ac:dyDescent="0.25">
      <c r="A210" s="3" t="s">
        <v>89</v>
      </c>
      <c r="B210" s="2" t="s">
        <v>90</v>
      </c>
      <c r="C210" s="2" t="s">
        <v>93</v>
      </c>
      <c r="D210" s="3">
        <v>0.53</v>
      </c>
      <c r="E210" s="3">
        <v>3</v>
      </c>
      <c r="F210" s="3"/>
    </row>
    <row r="211" spans="1:8" x14ac:dyDescent="0.25">
      <c r="B211" s="2"/>
      <c r="C211" s="2"/>
    </row>
    <row r="212" spans="1:8" x14ac:dyDescent="0.25">
      <c r="A212" s="3" t="s">
        <v>212</v>
      </c>
      <c r="B212" s="2" t="s">
        <v>213</v>
      </c>
      <c r="C212" s="25" t="s">
        <v>214</v>
      </c>
      <c r="D212" s="3">
        <v>2.62</v>
      </c>
      <c r="E212" s="3">
        <f>140*0.045</f>
        <v>6.3</v>
      </c>
      <c r="F212" s="3"/>
      <c r="G212" s="9" t="s">
        <v>108</v>
      </c>
      <c r="H212" s="9" t="s">
        <v>259</v>
      </c>
    </row>
    <row r="213" spans="1:8" x14ac:dyDescent="0.25">
      <c r="A213" s="3" t="s">
        <v>212</v>
      </c>
      <c r="B213" s="2" t="s">
        <v>213</v>
      </c>
      <c r="C213" s="25" t="s">
        <v>216</v>
      </c>
      <c r="D213" s="3">
        <v>3.2</v>
      </c>
      <c r="E213" s="3">
        <f>139*0.045</f>
        <v>6.2549999999999999</v>
      </c>
      <c r="F213" s="3"/>
    </row>
    <row r="214" spans="1:8" x14ac:dyDescent="0.25">
      <c r="A214" s="3" t="s">
        <v>212</v>
      </c>
      <c r="B214" s="2" t="s">
        <v>213</v>
      </c>
      <c r="C214" s="25" t="s">
        <v>217</v>
      </c>
      <c r="D214" s="3">
        <v>4.78</v>
      </c>
      <c r="E214" s="3">
        <f>109*0.045</f>
        <v>4.9050000000000002</v>
      </c>
      <c r="F214" s="3"/>
    </row>
    <row r="215" spans="1:8" x14ac:dyDescent="0.25">
      <c r="A215" s="3" t="s">
        <v>212</v>
      </c>
      <c r="B215" s="2" t="s">
        <v>213</v>
      </c>
      <c r="C215" s="25" t="s">
        <v>218</v>
      </c>
      <c r="D215" s="3">
        <v>5.45</v>
      </c>
      <c r="E215" s="3">
        <f>121*0.045</f>
        <v>5.4449999999999994</v>
      </c>
      <c r="F215" s="3"/>
    </row>
    <row r="216" spans="1:8" x14ac:dyDescent="0.25">
      <c r="A216" s="3" t="s">
        <v>212</v>
      </c>
      <c r="B216" s="2" t="s">
        <v>213</v>
      </c>
      <c r="C216" s="25" t="s">
        <v>219</v>
      </c>
      <c r="D216" s="3">
        <v>7</v>
      </c>
      <c r="E216" s="3">
        <f>66*0.045</f>
        <v>2.9699999999999998</v>
      </c>
      <c r="F216" s="3"/>
    </row>
    <row r="217" spans="1:8" x14ac:dyDescent="0.25">
      <c r="A217" s="3" t="s">
        <v>212</v>
      </c>
      <c r="B217" s="2" t="s">
        <v>213</v>
      </c>
      <c r="C217" s="25" t="s">
        <v>220</v>
      </c>
      <c r="D217" s="3">
        <v>9.68</v>
      </c>
      <c r="E217" s="3">
        <f>66*0.045</f>
        <v>2.9699999999999998</v>
      </c>
      <c r="F217" s="3"/>
    </row>
    <row r="218" spans="1:8" x14ac:dyDescent="0.25">
      <c r="B218" s="2"/>
      <c r="C218" s="2"/>
    </row>
    <row r="219" spans="1:8" x14ac:dyDescent="0.25">
      <c r="A219" s="3" t="s">
        <v>46</v>
      </c>
      <c r="B219" s="2" t="s">
        <v>47</v>
      </c>
      <c r="C219" s="2" t="s">
        <v>48</v>
      </c>
      <c r="D219" s="3">
        <v>0.67</v>
      </c>
      <c r="E219" s="3">
        <v>20</v>
      </c>
      <c r="F219" s="3"/>
      <c r="G219" s="9" t="s">
        <v>108</v>
      </c>
      <c r="H219" s="9" t="s">
        <v>274</v>
      </c>
    </row>
    <row r="220" spans="1:8" x14ac:dyDescent="0.25">
      <c r="A220" s="3" t="s">
        <v>46</v>
      </c>
      <c r="B220" s="2" t="s">
        <v>47</v>
      </c>
      <c r="C220" s="2" t="s">
        <v>49</v>
      </c>
      <c r="D220" s="3">
        <v>0.68</v>
      </c>
      <c r="E220" s="3">
        <v>15</v>
      </c>
      <c r="F220" s="3"/>
    </row>
    <row r="221" spans="1:8" x14ac:dyDescent="0.25">
      <c r="A221" s="3" t="s">
        <v>46</v>
      </c>
      <c r="B221" s="2" t="s">
        <v>47</v>
      </c>
      <c r="C221" s="2" t="s">
        <v>50</v>
      </c>
      <c r="D221" s="3">
        <v>0.71</v>
      </c>
      <c r="E221" s="3">
        <v>17</v>
      </c>
      <c r="F221" s="3"/>
    </row>
    <row r="222" spans="1:8" x14ac:dyDescent="0.25">
      <c r="A222" s="3" t="s">
        <v>46</v>
      </c>
      <c r="B222" s="2" t="s">
        <v>47</v>
      </c>
      <c r="C222" s="2" t="s">
        <v>51</v>
      </c>
      <c r="D222" s="3">
        <v>0.73</v>
      </c>
      <c r="E222" s="3">
        <v>17</v>
      </c>
      <c r="F222" s="3"/>
    </row>
    <row r="223" spans="1:8" x14ac:dyDescent="0.25">
      <c r="A223" s="3" t="s">
        <v>46</v>
      </c>
      <c r="B223" s="2" t="s">
        <v>47</v>
      </c>
      <c r="C223" s="2" t="s">
        <v>52</v>
      </c>
      <c r="D223" s="3">
        <v>0.74</v>
      </c>
      <c r="E223" s="3">
        <v>11</v>
      </c>
      <c r="F223" s="3"/>
    </row>
    <row r="224" spans="1:8" x14ac:dyDescent="0.25">
      <c r="A224" s="3" t="s">
        <v>46</v>
      </c>
      <c r="B224" s="2" t="s">
        <v>47</v>
      </c>
      <c r="C224" s="2" t="s">
        <v>53</v>
      </c>
      <c r="D224" s="3">
        <v>0.76</v>
      </c>
      <c r="E224" s="3">
        <v>11</v>
      </c>
      <c r="F224" s="3"/>
    </row>
    <row r="225" spans="1:8" x14ac:dyDescent="0.25">
      <c r="A225" s="3" t="s">
        <v>46</v>
      </c>
      <c r="B225" s="2" t="s">
        <v>47</v>
      </c>
      <c r="C225" s="2" t="s">
        <v>54</v>
      </c>
      <c r="D225" s="3">
        <v>0.78</v>
      </c>
      <c r="E225" s="3">
        <v>16.5</v>
      </c>
      <c r="F225" s="3"/>
    </row>
    <row r="226" spans="1:8" x14ac:dyDescent="0.25">
      <c r="A226" s="3" t="s">
        <v>46</v>
      </c>
      <c r="B226" s="2" t="s">
        <v>47</v>
      </c>
      <c r="C226" s="2" t="s">
        <v>55</v>
      </c>
      <c r="D226" s="3">
        <v>0.79</v>
      </c>
      <c r="E226" s="3">
        <v>16.5</v>
      </c>
      <c r="F226" s="3"/>
    </row>
    <row r="227" spans="1:8" x14ac:dyDescent="0.25">
      <c r="A227" s="3" t="s">
        <v>46</v>
      </c>
      <c r="B227" s="2" t="s">
        <v>47</v>
      </c>
      <c r="C227" s="2" t="s">
        <v>56</v>
      </c>
      <c r="D227" s="3">
        <v>0.81</v>
      </c>
      <c r="E227" s="3">
        <v>13.5</v>
      </c>
      <c r="F227" s="3"/>
    </row>
    <row r="228" spans="1:8" x14ac:dyDescent="0.25">
      <c r="A228" s="3" t="s">
        <v>46</v>
      </c>
      <c r="B228" s="2" t="s">
        <v>47</v>
      </c>
      <c r="C228" s="2" t="s">
        <v>57</v>
      </c>
      <c r="D228" s="3">
        <v>0.82</v>
      </c>
      <c r="E228" s="3">
        <v>16.5</v>
      </c>
      <c r="F228" s="3"/>
    </row>
    <row r="229" spans="1:8" x14ac:dyDescent="0.25">
      <c r="A229" s="3" t="s">
        <v>46</v>
      </c>
      <c r="B229" s="2" t="s">
        <v>47</v>
      </c>
      <c r="C229" s="2" t="s">
        <v>58</v>
      </c>
      <c r="D229" s="3">
        <v>0.83</v>
      </c>
      <c r="E229" s="3">
        <v>13.5</v>
      </c>
      <c r="F229" s="3"/>
    </row>
    <row r="230" spans="1:8" x14ac:dyDescent="0.25">
      <c r="A230" s="3" t="s">
        <v>46</v>
      </c>
      <c r="B230" s="2" t="s">
        <v>47</v>
      </c>
      <c r="C230" s="2" t="s">
        <v>59</v>
      </c>
      <c r="D230" s="3">
        <v>0.84</v>
      </c>
      <c r="E230" s="3">
        <v>7</v>
      </c>
      <c r="F230" s="3"/>
    </row>
    <row r="231" spans="1:8" x14ac:dyDescent="0.25">
      <c r="A231" s="3" t="s">
        <v>46</v>
      </c>
      <c r="B231" s="2" t="s">
        <v>47</v>
      </c>
      <c r="C231" s="2" t="s">
        <v>60</v>
      </c>
      <c r="D231" s="3">
        <v>0.84</v>
      </c>
      <c r="E231" s="3">
        <v>11</v>
      </c>
      <c r="F231" s="3"/>
    </row>
    <row r="232" spans="1:8" x14ac:dyDescent="0.25">
      <c r="B232" s="2"/>
      <c r="C232" s="2"/>
    </row>
    <row r="233" spans="1:8" x14ac:dyDescent="0.25">
      <c r="A233" s="3" t="s">
        <v>46</v>
      </c>
      <c r="B233" s="2" t="s">
        <v>61</v>
      </c>
      <c r="C233" s="25" t="s">
        <v>62</v>
      </c>
      <c r="D233" s="3">
        <v>0.67</v>
      </c>
      <c r="E233" s="3">
        <f>44*0.45</f>
        <v>19.8</v>
      </c>
      <c r="F233" s="1"/>
      <c r="G233" s="9" t="s">
        <v>108</v>
      </c>
      <c r="H233" s="9" t="s">
        <v>274</v>
      </c>
    </row>
    <row r="234" spans="1:8" x14ac:dyDescent="0.25">
      <c r="A234" s="3" t="s">
        <v>46</v>
      </c>
      <c r="B234" s="2" t="s">
        <v>61</v>
      </c>
      <c r="C234" s="25" t="s">
        <v>30</v>
      </c>
      <c r="D234" s="3">
        <v>0.68</v>
      </c>
      <c r="E234" s="3">
        <f>45*0.45</f>
        <v>20.25</v>
      </c>
      <c r="F234" s="3"/>
    </row>
    <row r="235" spans="1:8" x14ac:dyDescent="0.25">
      <c r="A235" s="3" t="s">
        <v>46</v>
      </c>
      <c r="B235" s="2" t="s">
        <v>61</v>
      </c>
      <c r="C235" s="25" t="s">
        <v>63</v>
      </c>
      <c r="D235" s="3">
        <v>0.7</v>
      </c>
      <c r="E235" s="3">
        <f>45*0.45</f>
        <v>20.25</v>
      </c>
      <c r="F235" s="3"/>
    </row>
    <row r="236" spans="1:8" x14ac:dyDescent="0.25">
      <c r="A236" s="3" t="s">
        <v>46</v>
      </c>
      <c r="B236" s="2" t="s">
        <v>61</v>
      </c>
      <c r="C236" s="25" t="s">
        <v>64</v>
      </c>
      <c r="D236" s="3">
        <v>0.72</v>
      </c>
      <c r="E236" s="3">
        <f>47*0.45</f>
        <v>21.150000000000002</v>
      </c>
      <c r="F236" s="3"/>
    </row>
    <row r="237" spans="1:8" x14ac:dyDescent="0.25">
      <c r="A237" s="3" t="s">
        <v>46</v>
      </c>
      <c r="B237" s="2" t="s">
        <v>61</v>
      </c>
      <c r="C237" s="25" t="s">
        <v>65</v>
      </c>
      <c r="D237" s="3">
        <v>0.73</v>
      </c>
      <c r="E237" s="3">
        <f>54*0.45</f>
        <v>24.3</v>
      </c>
      <c r="F237" s="3"/>
    </row>
    <row r="238" spans="1:8" x14ac:dyDescent="0.25">
      <c r="A238" s="3" t="s">
        <v>46</v>
      </c>
      <c r="B238" s="2" t="s">
        <v>61</v>
      </c>
      <c r="C238" s="25" t="s">
        <v>66</v>
      </c>
      <c r="D238" s="3">
        <v>0.73</v>
      </c>
      <c r="E238" s="3">
        <f>40*0.45</f>
        <v>18</v>
      </c>
      <c r="F238" s="3"/>
    </row>
    <row r="239" spans="1:8" x14ac:dyDescent="0.25">
      <c r="A239" s="3" t="s">
        <v>46</v>
      </c>
      <c r="B239" s="2" t="s">
        <v>61</v>
      </c>
      <c r="C239" s="25" t="s">
        <v>67</v>
      </c>
      <c r="D239" s="3">
        <v>0.74</v>
      </c>
      <c r="E239" s="3">
        <f>31*0.45</f>
        <v>13.950000000000001</v>
      </c>
      <c r="F239" s="3"/>
    </row>
    <row r="240" spans="1:8" x14ac:dyDescent="0.25">
      <c r="A240" s="3" t="s">
        <v>46</v>
      </c>
      <c r="B240" s="2" t="s">
        <v>61</v>
      </c>
      <c r="C240" s="25" t="s">
        <v>69</v>
      </c>
      <c r="D240" s="3">
        <v>0.75</v>
      </c>
      <c r="E240" s="3">
        <f>33*0.45</f>
        <v>14.85</v>
      </c>
      <c r="F240" s="3"/>
    </row>
    <row r="241" spans="1:22" x14ac:dyDescent="0.25">
      <c r="A241" s="3" t="s">
        <v>46</v>
      </c>
      <c r="B241" s="2" t="s">
        <v>61</v>
      </c>
      <c r="C241" s="25" t="s">
        <v>74</v>
      </c>
      <c r="D241" s="3">
        <v>0.77</v>
      </c>
      <c r="E241" s="3">
        <f>23*0.45</f>
        <v>10.35</v>
      </c>
      <c r="F241" s="3"/>
      <c r="V241" s="3"/>
    </row>
    <row r="242" spans="1:22" x14ac:dyDescent="0.25">
      <c r="A242" s="3" t="s">
        <v>46</v>
      </c>
      <c r="B242" s="2" t="s">
        <v>61</v>
      </c>
      <c r="C242" s="25" t="s">
        <v>73</v>
      </c>
      <c r="D242" s="3">
        <v>0.77</v>
      </c>
      <c r="E242" s="3">
        <f>32*0.45</f>
        <v>14.4</v>
      </c>
      <c r="F242" s="3"/>
      <c r="G242" s="10"/>
      <c r="U242" s="3"/>
      <c r="V242" s="3"/>
    </row>
    <row r="243" spans="1:22" s="3" customFormat="1" x14ac:dyDescent="0.25">
      <c r="A243" s="3" t="s">
        <v>46</v>
      </c>
      <c r="B243" s="2" t="s">
        <v>61</v>
      </c>
      <c r="C243" s="25" t="s">
        <v>72</v>
      </c>
      <c r="D243" s="3">
        <v>0.75</v>
      </c>
      <c r="E243" s="3">
        <f>5.5*0.45</f>
        <v>2.4750000000000001</v>
      </c>
      <c r="F243"/>
      <c r="G243" s="10"/>
      <c r="H243" s="9"/>
      <c r="I243"/>
      <c r="J243"/>
      <c r="K243"/>
      <c r="L243"/>
      <c r="M243"/>
      <c r="N243"/>
      <c r="O243"/>
      <c r="P243"/>
      <c r="Q243"/>
      <c r="R243"/>
      <c r="S243"/>
      <c r="T243"/>
    </row>
    <row r="244" spans="1:22" s="3" customFormat="1" x14ac:dyDescent="0.25">
      <c r="A244" s="3" t="s">
        <v>46</v>
      </c>
      <c r="B244" s="2" t="s">
        <v>61</v>
      </c>
      <c r="C244" s="25" t="s">
        <v>70</v>
      </c>
      <c r="D244" s="3">
        <v>0.75</v>
      </c>
      <c r="E244" s="3">
        <f>6*0.45</f>
        <v>2.7</v>
      </c>
      <c r="G244" s="10"/>
      <c r="H244" s="9"/>
      <c r="I244"/>
      <c r="J244"/>
      <c r="K244"/>
      <c r="L244"/>
      <c r="M244"/>
      <c r="N244"/>
      <c r="O244"/>
      <c r="P244"/>
      <c r="Q244"/>
      <c r="R244"/>
      <c r="S244"/>
    </row>
    <row r="245" spans="1:22" s="3" customFormat="1" x14ac:dyDescent="0.25">
      <c r="A245" s="3" t="s">
        <v>46</v>
      </c>
      <c r="B245" s="2" t="s">
        <v>61</v>
      </c>
      <c r="C245" s="25" t="s">
        <v>71</v>
      </c>
      <c r="D245" s="3">
        <v>0.75</v>
      </c>
      <c r="E245" s="3">
        <f>11*0.45</f>
        <v>4.95</v>
      </c>
      <c r="G245" s="10"/>
      <c r="H245" s="9"/>
      <c r="I245"/>
      <c r="N245"/>
      <c r="O245"/>
      <c r="P245"/>
      <c r="Q245"/>
      <c r="R245"/>
      <c r="S245"/>
      <c r="V245"/>
    </row>
    <row r="246" spans="1:22" s="3" customFormat="1" x14ac:dyDescent="0.25">
      <c r="A246" s="3" t="s">
        <v>46</v>
      </c>
      <c r="B246" s="2" t="s">
        <v>61</v>
      </c>
      <c r="C246" s="25" t="s">
        <v>68</v>
      </c>
      <c r="D246" s="3">
        <v>0.75</v>
      </c>
      <c r="E246" s="3">
        <f>6*0.45</f>
        <v>2.7</v>
      </c>
      <c r="G246" s="10"/>
      <c r="H246" s="9"/>
      <c r="I246"/>
      <c r="N246"/>
      <c r="O246"/>
      <c r="P246"/>
      <c r="Q246"/>
      <c r="U246"/>
      <c r="V246"/>
    </row>
    <row r="247" spans="1:22" x14ac:dyDescent="0.25">
      <c r="A247" s="3" t="s">
        <v>46</v>
      </c>
      <c r="B247" s="2" t="s">
        <v>61</v>
      </c>
      <c r="C247" s="25" t="s">
        <v>75</v>
      </c>
      <c r="D247" s="3">
        <v>0.78</v>
      </c>
      <c r="E247" s="3">
        <f>54*0.45</f>
        <v>24.3</v>
      </c>
      <c r="F247" s="3"/>
      <c r="G247" s="10"/>
      <c r="J247" s="3"/>
      <c r="K247" s="3"/>
      <c r="L247" s="3"/>
      <c r="M247" s="3"/>
      <c r="N247" s="3"/>
      <c r="O247" s="3"/>
      <c r="P247" s="3"/>
      <c r="Q247" s="3"/>
      <c r="R247" s="3"/>
      <c r="S247" s="3"/>
      <c r="T247" s="3"/>
    </row>
    <row r="248" spans="1:22" x14ac:dyDescent="0.25">
      <c r="A248" s="3" t="s">
        <v>46</v>
      </c>
      <c r="B248" s="2" t="s">
        <v>61</v>
      </c>
      <c r="C248" s="25" t="s">
        <v>76</v>
      </c>
      <c r="D248" s="3">
        <v>0.81</v>
      </c>
      <c r="E248" s="3">
        <f>45*0.45</f>
        <v>20.25</v>
      </c>
      <c r="F248" s="3"/>
      <c r="G248" s="10"/>
      <c r="J248" s="3"/>
      <c r="K248" s="3"/>
      <c r="L248" s="3"/>
      <c r="M248" s="3"/>
      <c r="N248" s="3"/>
      <c r="O248" s="3"/>
      <c r="P248" s="3"/>
      <c r="Q248" s="3"/>
      <c r="R248" s="3"/>
      <c r="S248" s="3"/>
    </row>
    <row r="249" spans="1:22" x14ac:dyDescent="0.25">
      <c r="A249" s="3" t="s">
        <v>46</v>
      </c>
      <c r="B249" s="2" t="s">
        <v>61</v>
      </c>
      <c r="C249" s="25" t="s">
        <v>77</v>
      </c>
      <c r="D249" s="3">
        <v>0.85</v>
      </c>
      <c r="E249" s="3">
        <f>5*0.45</f>
        <v>2.25</v>
      </c>
      <c r="F249" s="3"/>
      <c r="N249" s="3"/>
      <c r="O249" s="3"/>
      <c r="P249" s="3"/>
      <c r="Q249" s="3"/>
      <c r="R249" s="3"/>
      <c r="S249" s="3"/>
    </row>
    <row r="250" spans="1:22" x14ac:dyDescent="0.25">
      <c r="B250" s="2"/>
      <c r="C250" s="2"/>
      <c r="N250" s="3"/>
      <c r="O250" s="3"/>
      <c r="P250" s="3"/>
      <c r="Q250" s="3"/>
    </row>
    <row r="251" spans="1:22" x14ac:dyDescent="0.25">
      <c r="A251" s="3" t="s">
        <v>246</v>
      </c>
      <c r="B251" s="2" t="s">
        <v>253</v>
      </c>
      <c r="C251" s="25" t="s">
        <v>254</v>
      </c>
      <c r="D251" s="3">
        <v>16.899999999999999</v>
      </c>
      <c r="E251" s="3">
        <f>10*1.06</f>
        <v>10.600000000000001</v>
      </c>
      <c r="G251" s="9" t="s">
        <v>108</v>
      </c>
      <c r="H251" s="9" t="s">
        <v>295</v>
      </c>
    </row>
    <row r="252" spans="1:22" x14ac:dyDescent="0.25">
      <c r="A252" s="3" t="s">
        <v>246</v>
      </c>
      <c r="B252" s="2" t="s">
        <v>253</v>
      </c>
      <c r="C252" s="25" t="s">
        <v>255</v>
      </c>
      <c r="D252" s="3">
        <v>18.149999999999999</v>
      </c>
      <c r="E252" s="3">
        <f>10*1.06</f>
        <v>10.600000000000001</v>
      </c>
    </row>
    <row r="253" spans="1:22" x14ac:dyDescent="0.25">
      <c r="A253" s="3" t="s">
        <v>246</v>
      </c>
      <c r="B253" s="2" t="s">
        <v>253</v>
      </c>
      <c r="C253" s="25" t="s">
        <v>70</v>
      </c>
      <c r="D253" s="3">
        <v>18.600000000000001</v>
      </c>
      <c r="E253" s="3">
        <f>17*1.06</f>
        <v>18.02</v>
      </c>
    </row>
    <row r="254" spans="1:22" x14ac:dyDescent="0.25">
      <c r="A254" s="3" t="s">
        <v>246</v>
      </c>
      <c r="B254" s="2" t="s">
        <v>253</v>
      </c>
      <c r="C254" s="25" t="s">
        <v>256</v>
      </c>
      <c r="D254" s="3">
        <v>19.45</v>
      </c>
      <c r="E254" s="3">
        <f>3*1.06</f>
        <v>3.18</v>
      </c>
    </row>
    <row r="255" spans="1:22" x14ac:dyDescent="0.25">
      <c r="A255" s="3" t="s">
        <v>246</v>
      </c>
      <c r="B255" s="2" t="s">
        <v>253</v>
      </c>
      <c r="C255" s="25" t="s">
        <v>257</v>
      </c>
      <c r="D255" s="3">
        <v>20.010000000000002</v>
      </c>
      <c r="E255" s="3">
        <f>3*1.06</f>
        <v>3.18</v>
      </c>
    </row>
    <row r="256" spans="1:22" x14ac:dyDescent="0.25">
      <c r="A256" s="3" t="s">
        <v>246</v>
      </c>
      <c r="B256" s="2" t="s">
        <v>253</v>
      </c>
      <c r="C256" s="25" t="s">
        <v>258</v>
      </c>
      <c r="D256" s="3">
        <v>16.149999999999999</v>
      </c>
      <c r="E256" s="3">
        <f>3*1.06</f>
        <v>3.18</v>
      </c>
      <c r="F256" s="3"/>
    </row>
    <row r="257" spans="1:9" x14ac:dyDescent="0.25">
      <c r="A257" s="3"/>
      <c r="B257" s="3"/>
      <c r="C257" s="1"/>
      <c r="D257" s="3"/>
      <c r="E257" s="3"/>
      <c r="F257" s="3"/>
      <c r="G257" s="3"/>
      <c r="I257" s="3"/>
    </row>
    <row r="258" spans="1:9" x14ac:dyDescent="0.25">
      <c r="A258" s="3"/>
      <c r="B258" s="3"/>
      <c r="C258" s="1"/>
      <c r="D258" s="3"/>
      <c r="E258" s="3"/>
      <c r="F258" s="3"/>
      <c r="G258" s="3"/>
      <c r="I258" s="3"/>
    </row>
    <row r="259" spans="1:9" x14ac:dyDescent="0.25">
      <c r="A259" s="3"/>
      <c r="B259" s="3"/>
      <c r="C259" s="1"/>
      <c r="D259" s="3"/>
      <c r="E259" s="3"/>
      <c r="F259" s="3"/>
      <c r="G259" s="3"/>
      <c r="I259" s="3"/>
    </row>
    <row r="260" spans="1:9" x14ac:dyDescent="0.25">
      <c r="A260" s="3"/>
      <c r="B260" s="3"/>
      <c r="C260" s="3"/>
      <c r="D260" s="3"/>
      <c r="E260" s="3"/>
      <c r="F260" s="3"/>
      <c r="G260" s="3"/>
      <c r="I260" s="3"/>
    </row>
  </sheetData>
  <sortState ref="A85:E95">
    <sortCondition ref="E85:E95"/>
  </sortState>
  <mergeCells count="9">
    <mergeCell ref="A1:S1"/>
    <mergeCell ref="H3:H4"/>
    <mergeCell ref="F3:F4"/>
    <mergeCell ref="G3:G4"/>
    <mergeCell ref="A3:A4"/>
    <mergeCell ref="B3:B4"/>
    <mergeCell ref="C3:C4"/>
    <mergeCell ref="D3:D4"/>
    <mergeCell ref="E3: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Table S1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Alex</cp:lastModifiedBy>
  <cp:lastPrinted>2015-09-30T10:15:13Z</cp:lastPrinted>
  <dcterms:created xsi:type="dcterms:W3CDTF">2015-05-27T07:23:05Z</dcterms:created>
  <dcterms:modified xsi:type="dcterms:W3CDTF">2019-06-15T07:04:50Z</dcterms:modified>
</cp:coreProperties>
</file>