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8" windowWidth="22298" windowHeight="11505"/>
  </bookViews>
  <sheets>
    <sheet name="table" sheetId="1" r:id="rId1"/>
  </sheets>
  <calcPr calcId="145621"/>
</workbook>
</file>

<file path=xl/calcChain.xml><?xml version="1.0" encoding="utf-8"?>
<calcChain xmlns="http://schemas.openxmlformats.org/spreadsheetml/2006/main">
  <c r="AW180" i="1" l="1"/>
  <c r="CB180" i="1"/>
  <c r="CA180" i="1"/>
  <c r="BZ180" i="1"/>
  <c r="Q180" i="1"/>
  <c r="BY180" i="1" s="1"/>
  <c r="I180" i="1"/>
  <c r="O175" i="1"/>
  <c r="AW173" i="1"/>
  <c r="K173" i="1"/>
  <c r="CB173" i="1"/>
  <c r="CA173" i="1"/>
  <c r="BZ173" i="1"/>
  <c r="Q173" i="1"/>
  <c r="BW173" i="1" s="1"/>
  <c r="I173" i="1"/>
  <c r="AW172" i="1"/>
  <c r="K172" i="1"/>
  <c r="CB172" i="1"/>
  <c r="CA172" i="1"/>
  <c r="BZ172" i="1"/>
  <c r="Q172" i="1"/>
  <c r="BY172" i="1" s="1"/>
  <c r="I172" i="1"/>
  <c r="AW157" i="1"/>
  <c r="CP157" i="1"/>
  <c r="CB157" i="1"/>
  <c r="CA157" i="1"/>
  <c r="BZ157" i="1"/>
  <c r="Q157" i="1"/>
  <c r="BY157" i="1" s="1"/>
  <c r="I157" i="1"/>
  <c r="BY166" i="1"/>
  <c r="BX166" i="1"/>
  <c r="BW166" i="1"/>
  <c r="K165" i="1"/>
  <c r="CB165" i="1"/>
  <c r="CA165" i="1"/>
  <c r="BZ165" i="1"/>
  <c r="Q165" i="1"/>
  <c r="BW165" i="1" s="1"/>
  <c r="I165" i="1"/>
  <c r="BY163" i="1"/>
  <c r="BX163" i="1"/>
  <c r="BW163" i="1"/>
  <c r="K162" i="1"/>
  <c r="CB162" i="1"/>
  <c r="CA162" i="1"/>
  <c r="BZ162" i="1"/>
  <c r="Q162" i="1"/>
  <c r="BY162" i="1" s="1"/>
  <c r="I162" i="1"/>
  <c r="BY161" i="1"/>
  <c r="BX161" i="1"/>
  <c r="BW161" i="1"/>
  <c r="K156" i="1"/>
  <c r="CB156" i="1"/>
  <c r="CA156" i="1"/>
  <c r="BZ156" i="1"/>
  <c r="BY156" i="1"/>
  <c r="BX156" i="1"/>
  <c r="BW156" i="1"/>
  <c r="I156" i="1"/>
  <c r="K155" i="1"/>
  <c r="CB155" i="1"/>
  <c r="CA155" i="1"/>
  <c r="BZ155" i="1"/>
  <c r="BW155" i="1"/>
  <c r="I155" i="1"/>
  <c r="K154" i="1"/>
  <c r="CB154" i="1"/>
  <c r="CA154" i="1"/>
  <c r="BZ154" i="1"/>
  <c r="Q154" i="1"/>
  <c r="BY154" i="1" s="1"/>
  <c r="I154" i="1"/>
  <c r="AW153" i="1"/>
  <c r="K153" i="1"/>
  <c r="CP153" i="1"/>
  <c r="CB153" i="1"/>
  <c r="CA153" i="1"/>
  <c r="BZ153" i="1"/>
  <c r="Q153" i="1"/>
  <c r="BY153" i="1" s="1"/>
  <c r="I153" i="1"/>
  <c r="K152" i="1"/>
  <c r="CB152" i="1"/>
  <c r="CA152" i="1"/>
  <c r="BZ152" i="1"/>
  <c r="Q152" i="1"/>
  <c r="BY152" i="1" s="1"/>
  <c r="I152" i="1"/>
  <c r="CP151" i="1"/>
  <c r="BQ150" i="1"/>
  <c r="AW150" i="1"/>
  <c r="AO150" i="1"/>
  <c r="K150" i="1"/>
  <c r="CP150" i="1"/>
  <c r="CB150" i="1"/>
  <c r="CA150" i="1"/>
  <c r="BZ150" i="1"/>
  <c r="Q150" i="1"/>
  <c r="BY150" i="1" s="1"/>
  <c r="I150" i="1"/>
  <c r="K149" i="1"/>
  <c r="CP149" i="1"/>
  <c r="CB149" i="1"/>
  <c r="CA149" i="1"/>
  <c r="BZ149" i="1"/>
  <c r="BY149" i="1"/>
  <c r="BX149" i="1"/>
  <c r="BW149" i="1"/>
  <c r="I149" i="1"/>
  <c r="K148" i="1"/>
  <c r="CB148" i="1"/>
  <c r="CA148" i="1"/>
  <c r="BZ148" i="1"/>
  <c r="BY148" i="1"/>
  <c r="I148" i="1"/>
  <c r="AW147" i="1"/>
  <c r="K147" i="1"/>
  <c r="CP147" i="1"/>
  <c r="CB147" i="1"/>
  <c r="CA147" i="1"/>
  <c r="BZ147" i="1"/>
  <c r="Q147" i="1"/>
  <c r="BW147" i="1" s="1"/>
  <c r="I147" i="1"/>
  <c r="AW146" i="1"/>
  <c r="AO146" i="1"/>
  <c r="K146" i="1"/>
  <c r="CP146" i="1"/>
  <c r="CB146" i="1"/>
  <c r="CA146" i="1"/>
  <c r="BZ146" i="1"/>
  <c r="Q146" i="1"/>
  <c r="BY146" i="1" s="1"/>
  <c r="I146" i="1"/>
  <c r="K145" i="1"/>
  <c r="CP145" i="1"/>
  <c r="CB145" i="1"/>
  <c r="CA145" i="1"/>
  <c r="BZ145" i="1"/>
  <c r="Q145" i="1"/>
  <c r="BY145" i="1" s="1"/>
  <c r="I145" i="1"/>
  <c r="AW144" i="1"/>
  <c r="AO144" i="1"/>
  <c r="K144" i="1"/>
  <c r="CP144" i="1"/>
  <c r="CB144" i="1"/>
  <c r="CA144" i="1"/>
  <c r="BZ144" i="1"/>
  <c r="Q144" i="1"/>
  <c r="BY144" i="1" s="1"/>
  <c r="I144" i="1"/>
  <c r="K143" i="1"/>
  <c r="CP143" i="1"/>
  <c r="CB143" i="1"/>
  <c r="CA143" i="1"/>
  <c r="BZ143" i="1"/>
  <c r="Q143" i="1"/>
  <c r="BY143" i="1" s="1"/>
  <c r="I143" i="1"/>
  <c r="AW142" i="1"/>
  <c r="AO142" i="1"/>
  <c r="K142" i="1"/>
  <c r="CP142" i="1"/>
  <c r="CB142" i="1"/>
  <c r="CA142" i="1"/>
  <c r="BZ142" i="1"/>
  <c r="Q142" i="1"/>
  <c r="BW142" i="1" s="1"/>
  <c r="I142" i="1"/>
  <c r="AW141" i="1"/>
  <c r="K141" i="1"/>
  <c r="CB141" i="1"/>
  <c r="CA141" i="1"/>
  <c r="BZ141" i="1"/>
  <c r="Q141" i="1"/>
  <c r="BY141" i="1" s="1"/>
  <c r="I141" i="1"/>
  <c r="CP140" i="1"/>
  <c r="K139" i="1"/>
  <c r="CP139" i="1"/>
  <c r="CB139" i="1"/>
  <c r="CA139" i="1"/>
  <c r="BZ139" i="1"/>
  <c r="Q139" i="1"/>
  <c r="BY139" i="1" s="1"/>
  <c r="AW138" i="1"/>
  <c r="K138" i="1"/>
  <c r="CP138" i="1"/>
  <c r="CB138" i="1"/>
  <c r="CA138" i="1"/>
  <c r="BZ138" i="1"/>
  <c r="Q138" i="1"/>
  <c r="BY138" i="1" s="1"/>
  <c r="I138" i="1"/>
  <c r="K137" i="1"/>
  <c r="CP137" i="1"/>
  <c r="CB137" i="1"/>
  <c r="CA137" i="1"/>
  <c r="BZ137" i="1"/>
  <c r="Q137" i="1"/>
  <c r="BY137" i="1" s="1"/>
  <c r="K136" i="1"/>
  <c r="CP136" i="1"/>
  <c r="CB136" i="1"/>
  <c r="CA136" i="1"/>
  <c r="BZ136" i="1"/>
  <c r="Q136" i="1"/>
  <c r="BY136" i="1" s="1"/>
  <c r="I136" i="1"/>
  <c r="AW135" i="1"/>
  <c r="K135" i="1"/>
  <c r="CP135" i="1"/>
  <c r="CB135" i="1"/>
  <c r="CA135" i="1"/>
  <c r="BZ135" i="1"/>
  <c r="Q135" i="1"/>
  <c r="BY135" i="1" s="1"/>
  <c r="I135" i="1"/>
  <c r="K134" i="1"/>
  <c r="CP134" i="1"/>
  <c r="CB134" i="1"/>
  <c r="CA134" i="1"/>
  <c r="BZ134" i="1"/>
  <c r="Q134" i="1"/>
  <c r="BW134" i="1" s="1"/>
  <c r="I134" i="1"/>
  <c r="AW133" i="1"/>
  <c r="K133" i="1"/>
  <c r="CP133" i="1"/>
  <c r="CB133" i="1"/>
  <c r="CA133" i="1"/>
  <c r="BZ133" i="1"/>
  <c r="Q133" i="1"/>
  <c r="BY133" i="1" s="1"/>
  <c r="I133" i="1"/>
  <c r="K132" i="1"/>
  <c r="CP132" i="1"/>
  <c r="CB132" i="1"/>
  <c r="CA132" i="1"/>
  <c r="BZ132" i="1"/>
  <c r="Q132" i="1"/>
  <c r="BY132" i="1" s="1"/>
  <c r="K131" i="1"/>
  <c r="CB131" i="1"/>
  <c r="CA131" i="1"/>
  <c r="BZ131" i="1"/>
  <c r="Q131" i="1"/>
  <c r="BY131" i="1" s="1"/>
  <c r="I131" i="1"/>
  <c r="K130" i="1"/>
  <c r="CB130" i="1"/>
  <c r="CA130" i="1"/>
  <c r="BZ130" i="1"/>
  <c r="Q130" i="1"/>
  <c r="BY130" i="1" s="1"/>
  <c r="I130" i="1"/>
  <c r="AW129" i="1"/>
  <c r="K129" i="1"/>
  <c r="CP129" i="1"/>
  <c r="CB129" i="1"/>
  <c r="CA129" i="1"/>
  <c r="BZ129" i="1"/>
  <c r="Q129" i="1"/>
  <c r="BW129" i="1" s="1"/>
  <c r="I129" i="1"/>
  <c r="K128" i="1"/>
  <c r="CP128" i="1"/>
  <c r="CB128" i="1"/>
  <c r="CA128" i="1"/>
  <c r="BZ128" i="1"/>
  <c r="BY128" i="1"/>
  <c r="BX128" i="1"/>
  <c r="BW128" i="1"/>
  <c r="K127" i="1"/>
  <c r="CP127" i="1"/>
  <c r="CB127" i="1"/>
  <c r="CA127" i="1"/>
  <c r="BZ127" i="1"/>
  <c r="BY127" i="1"/>
  <c r="I127" i="1"/>
  <c r="K126" i="1"/>
  <c r="CP126" i="1"/>
  <c r="CB126" i="1"/>
  <c r="CA126" i="1"/>
  <c r="BZ126" i="1"/>
  <c r="BY126" i="1"/>
  <c r="I126" i="1"/>
  <c r="K125" i="1"/>
  <c r="CP125" i="1"/>
  <c r="CB125" i="1"/>
  <c r="CA125" i="1"/>
  <c r="BZ125" i="1"/>
  <c r="BW125" i="1"/>
  <c r="I125" i="1"/>
  <c r="K124" i="1"/>
  <c r="CP124" i="1"/>
  <c r="CB124" i="1"/>
  <c r="CA124" i="1"/>
  <c r="BZ124" i="1"/>
  <c r="BY124" i="1"/>
  <c r="BX124" i="1"/>
  <c r="BW124" i="1"/>
  <c r="K123" i="1"/>
  <c r="CP123" i="1"/>
  <c r="CB123" i="1"/>
  <c r="CA123" i="1"/>
  <c r="BZ123" i="1"/>
  <c r="BW123" i="1"/>
  <c r="I123" i="1"/>
  <c r="AW122" i="1"/>
  <c r="K122" i="1"/>
  <c r="CP122" i="1"/>
  <c r="CB122" i="1"/>
  <c r="CA122" i="1"/>
  <c r="BZ122" i="1"/>
  <c r="Q122" i="1"/>
  <c r="AW121" i="1"/>
  <c r="K121" i="1"/>
  <c r="CP121" i="1"/>
  <c r="CB121" i="1"/>
  <c r="CA121" i="1"/>
  <c r="BZ121" i="1"/>
  <c r="Q121" i="1"/>
  <c r="BY121" i="1" s="1"/>
  <c r="I121" i="1"/>
  <c r="CP120" i="1"/>
  <c r="K119" i="1"/>
  <c r="CB119" i="1"/>
  <c r="CA119" i="1"/>
  <c r="BZ119" i="1"/>
  <c r="Q119" i="1"/>
  <c r="BY119" i="1" s="1"/>
  <c r="I119" i="1"/>
  <c r="K118" i="1"/>
  <c r="CP118" i="1"/>
  <c r="CB118" i="1"/>
  <c r="CA118" i="1"/>
  <c r="BZ118" i="1"/>
  <c r="Q118" i="1"/>
  <c r="K117" i="1"/>
  <c r="CB117" i="1"/>
  <c r="CA117" i="1"/>
  <c r="BZ117" i="1"/>
  <c r="Q117" i="1"/>
  <c r="BY117" i="1" s="1"/>
  <c r="I117" i="1"/>
  <c r="K116" i="1"/>
  <c r="CP116" i="1"/>
  <c r="CB116" i="1"/>
  <c r="CA116" i="1"/>
  <c r="BZ116" i="1"/>
  <c r="Q116" i="1"/>
  <c r="BY116" i="1" s="1"/>
  <c r="I116" i="1"/>
  <c r="K115" i="1"/>
  <c r="CB115" i="1"/>
  <c r="CA115" i="1"/>
  <c r="BZ115" i="1"/>
  <c r="Q115" i="1"/>
  <c r="BY115" i="1" s="1"/>
  <c r="I115" i="1"/>
  <c r="K114" i="1"/>
  <c r="CP114" i="1"/>
  <c r="CB114" i="1"/>
  <c r="CA114" i="1"/>
  <c r="BZ114" i="1"/>
  <c r="Q114" i="1"/>
  <c r="BW114" i="1" s="1"/>
  <c r="I114" i="1"/>
  <c r="K113" i="1"/>
  <c r="CB113" i="1"/>
  <c r="CA113" i="1"/>
  <c r="BZ113" i="1"/>
  <c r="Q113" i="1"/>
  <c r="BY113" i="1" s="1"/>
  <c r="I113" i="1"/>
  <c r="AW112" i="1"/>
  <c r="AP112" i="1"/>
  <c r="K112" i="1"/>
  <c r="CB112" i="1"/>
  <c r="CA112" i="1"/>
  <c r="BZ112" i="1"/>
  <c r="Q112" i="1"/>
  <c r="BY112" i="1" s="1"/>
  <c r="I112" i="1"/>
  <c r="K111" i="1"/>
  <c r="CP111" i="1"/>
  <c r="CB111" i="1"/>
  <c r="CA111" i="1"/>
  <c r="BZ111" i="1"/>
  <c r="Q111" i="1"/>
  <c r="BY111" i="1" s="1"/>
  <c r="K110" i="1"/>
  <c r="CP110" i="1"/>
  <c r="CB110" i="1"/>
  <c r="CA110" i="1"/>
  <c r="BZ110" i="1"/>
  <c r="Q110" i="1"/>
  <c r="BW110" i="1" s="1"/>
  <c r="I110" i="1"/>
  <c r="AW109" i="1"/>
  <c r="AP109" i="1"/>
  <c r="K109" i="1"/>
  <c r="CP109" i="1"/>
  <c r="CB109" i="1"/>
  <c r="CA109" i="1"/>
  <c r="BZ109" i="1"/>
  <c r="Q109" i="1"/>
  <c r="BY109" i="1" s="1"/>
  <c r="I109" i="1"/>
  <c r="K108" i="1"/>
  <c r="CP108" i="1"/>
  <c r="CB108" i="1"/>
  <c r="CA108" i="1"/>
  <c r="BZ108" i="1"/>
  <c r="Q108" i="1"/>
  <c r="BY108" i="1" s="1"/>
  <c r="I108" i="1"/>
  <c r="K107" i="1"/>
  <c r="CP107" i="1"/>
  <c r="CB107" i="1"/>
  <c r="CA107" i="1"/>
  <c r="BZ107" i="1"/>
  <c r="Q107" i="1"/>
  <c r="BY107" i="1" s="1"/>
  <c r="I107" i="1"/>
  <c r="K106" i="1"/>
  <c r="CB106" i="1"/>
  <c r="CA106" i="1"/>
  <c r="BZ106" i="1"/>
  <c r="BW106" i="1"/>
  <c r="I106" i="1"/>
  <c r="K105" i="1"/>
  <c r="CP105" i="1"/>
  <c r="CB105" i="1"/>
  <c r="CA105" i="1"/>
  <c r="BZ105" i="1"/>
  <c r="Q105" i="1"/>
  <c r="BY105" i="1" s="1"/>
  <c r="I105" i="1"/>
  <c r="K104" i="1"/>
  <c r="CP104" i="1"/>
  <c r="CB104" i="1"/>
  <c r="CA104" i="1"/>
  <c r="BZ104" i="1"/>
  <c r="BY104" i="1"/>
  <c r="I104" i="1"/>
  <c r="K103" i="1"/>
  <c r="CP103" i="1"/>
  <c r="CB103" i="1"/>
  <c r="CA103" i="1"/>
  <c r="BZ103" i="1"/>
  <c r="BY103" i="1"/>
  <c r="I103" i="1"/>
  <c r="K102" i="1"/>
  <c r="CP102" i="1"/>
  <c r="CB102" i="1"/>
  <c r="CA102" i="1"/>
  <c r="BZ102" i="1"/>
  <c r="BW102" i="1"/>
  <c r="I102" i="1"/>
  <c r="AW101" i="1"/>
  <c r="AP101" i="1"/>
  <c r="K101" i="1"/>
  <c r="CP101" i="1"/>
  <c r="CB101" i="1"/>
  <c r="CA101" i="1"/>
  <c r="BZ101" i="1"/>
  <c r="Q101" i="1"/>
  <c r="BY101" i="1" s="1"/>
  <c r="I101" i="1"/>
  <c r="CP100" i="1"/>
  <c r="CP99" i="1"/>
  <c r="K98" i="1"/>
  <c r="CB98" i="1"/>
  <c r="CA98" i="1"/>
  <c r="BZ98" i="1"/>
  <c r="Q98" i="1"/>
  <c r="BW98" i="1" s="1"/>
  <c r="I98" i="1"/>
  <c r="K97" i="1"/>
  <c r="CP97" i="1"/>
  <c r="CB97" i="1"/>
  <c r="CA97" i="1"/>
  <c r="BZ97" i="1"/>
  <c r="Q97" i="1"/>
  <c r="BY97" i="1" s="1"/>
  <c r="I97" i="1"/>
  <c r="K96" i="1"/>
  <c r="CP96" i="1"/>
  <c r="CB96" i="1"/>
  <c r="CA96" i="1"/>
  <c r="BZ96" i="1"/>
  <c r="Q96" i="1"/>
  <c r="BY96" i="1" s="1"/>
  <c r="I96" i="1"/>
  <c r="K95" i="1"/>
  <c r="CP95" i="1"/>
  <c r="CB95" i="1"/>
  <c r="CA95" i="1"/>
  <c r="BZ95" i="1"/>
  <c r="Q95" i="1"/>
  <c r="BY95" i="1" s="1"/>
  <c r="I95" i="1"/>
  <c r="AW94" i="1"/>
  <c r="K94" i="1"/>
  <c r="CP94" i="1"/>
  <c r="CB94" i="1"/>
  <c r="CA94" i="1"/>
  <c r="BZ94" i="1"/>
  <c r="Q94" i="1"/>
  <c r="BW94" i="1" s="1"/>
  <c r="I94" i="1"/>
  <c r="AW93" i="1"/>
  <c r="AO93" i="1"/>
  <c r="K93" i="1"/>
  <c r="CP93" i="1"/>
  <c r="CB93" i="1"/>
  <c r="CA93" i="1"/>
  <c r="BZ93" i="1"/>
  <c r="Q93" i="1"/>
  <c r="BY93" i="1" s="1"/>
  <c r="I93" i="1"/>
  <c r="K90" i="1"/>
  <c r="CB90" i="1"/>
  <c r="CA90" i="1"/>
  <c r="BZ90" i="1"/>
  <c r="Q90" i="1"/>
  <c r="BY90" i="1" s="1"/>
  <c r="I90" i="1"/>
  <c r="K89" i="1"/>
  <c r="CB89" i="1"/>
  <c r="CA89" i="1"/>
  <c r="BZ89" i="1"/>
  <c r="BY89" i="1"/>
  <c r="I89" i="1"/>
  <c r="K88" i="1"/>
  <c r="CB88" i="1"/>
  <c r="CA88" i="1"/>
  <c r="BZ88" i="1"/>
  <c r="Q88" i="1"/>
  <c r="BY88" i="1" s="1"/>
  <c r="I88" i="1"/>
  <c r="K87" i="1"/>
  <c r="CP87" i="1"/>
  <c r="CB87" i="1"/>
  <c r="CA87" i="1"/>
  <c r="BZ87" i="1"/>
  <c r="Q87" i="1"/>
  <c r="BY87" i="1" s="1"/>
  <c r="I87" i="1"/>
  <c r="K86" i="1"/>
  <c r="CB86" i="1"/>
  <c r="CA86" i="1"/>
  <c r="BZ86" i="1"/>
  <c r="Q86" i="1"/>
  <c r="BY86" i="1" s="1"/>
  <c r="I86" i="1"/>
  <c r="BY85" i="1"/>
  <c r="BX85" i="1"/>
  <c r="BW85" i="1"/>
  <c r="K84" i="1"/>
  <c r="CB84" i="1"/>
  <c r="CA84" i="1"/>
  <c r="BZ84" i="1"/>
  <c r="Q84" i="1"/>
  <c r="BW84" i="1" s="1"/>
  <c r="I84" i="1"/>
  <c r="BY83" i="1"/>
  <c r="K82" i="1"/>
  <c r="CB82" i="1"/>
  <c r="CA82" i="1"/>
  <c r="BZ82" i="1"/>
  <c r="Q82" i="1"/>
  <c r="BY82" i="1" s="1"/>
  <c r="I82" i="1"/>
  <c r="K81" i="1"/>
  <c r="CP81" i="1"/>
  <c r="CB81" i="1"/>
  <c r="CA81" i="1"/>
  <c r="BZ81" i="1"/>
  <c r="Q81" i="1"/>
  <c r="BY81" i="1" s="1"/>
  <c r="I81" i="1"/>
  <c r="K80" i="1"/>
  <c r="CP80" i="1"/>
  <c r="CB80" i="1"/>
  <c r="CA80" i="1"/>
  <c r="BZ80" i="1"/>
  <c r="Q80" i="1"/>
  <c r="BW80" i="1" s="1"/>
  <c r="I80" i="1"/>
  <c r="K79" i="1"/>
  <c r="CP79" i="1"/>
  <c r="CB79" i="1"/>
  <c r="CA79" i="1"/>
  <c r="BZ79" i="1"/>
  <c r="Q79" i="1"/>
  <c r="BY79" i="1" s="1"/>
  <c r="I79" i="1"/>
  <c r="K78" i="1"/>
  <c r="CB78" i="1"/>
  <c r="CA78" i="1"/>
  <c r="BZ78" i="1"/>
  <c r="Q78" i="1"/>
  <c r="BY77" i="1"/>
  <c r="K76" i="1"/>
  <c r="CB76" i="1"/>
  <c r="CA76" i="1"/>
  <c r="BZ76" i="1"/>
  <c r="Q76" i="1"/>
  <c r="BY76" i="1" s="1"/>
  <c r="I76" i="1"/>
  <c r="K75" i="1"/>
  <c r="CB75" i="1"/>
  <c r="CA75" i="1"/>
  <c r="BZ75" i="1"/>
  <c r="Q75" i="1"/>
  <c r="BY75" i="1" s="1"/>
  <c r="I75" i="1"/>
  <c r="K74" i="1"/>
  <c r="CP74" i="1"/>
  <c r="CB74" i="1"/>
  <c r="CA74" i="1"/>
  <c r="BZ74" i="1"/>
  <c r="Q74" i="1"/>
  <c r="K73" i="1"/>
  <c r="CP73" i="1"/>
  <c r="CB73" i="1"/>
  <c r="CA73" i="1"/>
  <c r="BZ73" i="1"/>
  <c r="Q73" i="1"/>
  <c r="BY73" i="1" s="1"/>
  <c r="I73" i="1"/>
  <c r="K72" i="1"/>
  <c r="CP72" i="1"/>
  <c r="CB72" i="1"/>
  <c r="CA72" i="1"/>
  <c r="BZ72" i="1"/>
  <c r="Q72" i="1"/>
  <c r="BY72" i="1" s="1"/>
  <c r="I72" i="1"/>
  <c r="K70" i="1"/>
  <c r="CB70" i="1"/>
  <c r="CA70" i="1"/>
  <c r="BZ70" i="1"/>
  <c r="Q70" i="1"/>
  <c r="BX70" i="1" s="1"/>
  <c r="I70" i="1"/>
  <c r="K69" i="1"/>
  <c r="CP69" i="1"/>
  <c r="CB69" i="1"/>
  <c r="CA69" i="1"/>
  <c r="BZ69" i="1"/>
  <c r="Q69" i="1"/>
  <c r="CP68" i="1"/>
  <c r="K67" i="1"/>
  <c r="CP67" i="1"/>
  <c r="CB67" i="1"/>
  <c r="CA67" i="1"/>
  <c r="BZ67" i="1"/>
  <c r="Q67" i="1"/>
  <c r="BW67" i="1" s="1"/>
  <c r="I67" i="1"/>
  <c r="BY66" i="1"/>
  <c r="K65" i="1"/>
  <c r="CP65" i="1"/>
  <c r="CB65" i="1"/>
  <c r="CA65" i="1"/>
  <c r="BZ65" i="1"/>
  <c r="Q65" i="1"/>
  <c r="BW65" i="1" s="1"/>
  <c r="I65" i="1"/>
  <c r="K64" i="1"/>
  <c r="CP64" i="1"/>
  <c r="CB64" i="1"/>
  <c r="CA64" i="1"/>
  <c r="BZ64" i="1"/>
  <c r="Q64" i="1"/>
  <c r="K63" i="1"/>
  <c r="CP63" i="1"/>
  <c r="CB63" i="1"/>
  <c r="CA63" i="1"/>
  <c r="BZ63" i="1"/>
  <c r="Q63" i="1"/>
  <c r="BW63" i="1" s="1"/>
  <c r="I63" i="1"/>
  <c r="K62" i="1"/>
  <c r="CP62" i="1"/>
  <c r="CB62" i="1"/>
  <c r="CA62" i="1"/>
  <c r="BZ62" i="1"/>
  <c r="Q62" i="1"/>
  <c r="BY62" i="1" s="1"/>
  <c r="I62" i="1"/>
  <c r="K61" i="1"/>
  <c r="CP61" i="1"/>
  <c r="CB61" i="1"/>
  <c r="CA61" i="1"/>
  <c r="BZ61" i="1"/>
  <c r="Q61" i="1"/>
  <c r="BY61" i="1" s="1"/>
  <c r="I61" i="1"/>
  <c r="K60" i="1"/>
  <c r="CP60" i="1"/>
  <c r="CB60" i="1"/>
  <c r="CA60" i="1"/>
  <c r="BZ60" i="1"/>
  <c r="Q60" i="1"/>
  <c r="BX60" i="1" s="1"/>
  <c r="I60" i="1"/>
  <c r="BY59" i="1"/>
  <c r="BW58" i="1"/>
  <c r="BY57" i="1"/>
  <c r="BY56" i="1"/>
  <c r="K55" i="1"/>
  <c r="CB55" i="1"/>
  <c r="CA55" i="1"/>
  <c r="BZ55" i="1"/>
  <c r="Q55" i="1"/>
  <c r="BY55" i="1" s="1"/>
  <c r="I55" i="1"/>
  <c r="K54" i="1"/>
  <c r="CP54" i="1"/>
  <c r="CB54" i="1"/>
  <c r="CA54" i="1"/>
  <c r="BZ54" i="1"/>
  <c r="BY54" i="1"/>
  <c r="I54" i="1"/>
  <c r="K53" i="1"/>
  <c r="CP53" i="1"/>
  <c r="CB53" i="1"/>
  <c r="CA53" i="1"/>
  <c r="BZ53" i="1"/>
  <c r="Q53" i="1"/>
  <c r="BY53" i="1" s="1"/>
  <c r="I53" i="1"/>
  <c r="K51" i="1"/>
  <c r="CP51" i="1"/>
  <c r="CB51" i="1"/>
  <c r="CA51" i="1"/>
  <c r="BZ51" i="1"/>
  <c r="Q51" i="1"/>
  <c r="BW51" i="1" s="1"/>
  <c r="I51" i="1"/>
  <c r="CP49" i="1"/>
  <c r="K48" i="1"/>
  <c r="CP48" i="1"/>
  <c r="CB48" i="1"/>
  <c r="CA48" i="1"/>
  <c r="BZ48" i="1"/>
  <c r="Q48" i="1"/>
  <c r="BY48" i="1" s="1"/>
  <c r="I48" i="1"/>
  <c r="K47" i="1"/>
  <c r="CB47" i="1"/>
  <c r="CA47" i="1"/>
  <c r="BZ47" i="1"/>
  <c r="Q47" i="1"/>
  <c r="BY47" i="1" s="1"/>
  <c r="I47" i="1"/>
  <c r="K45" i="1"/>
  <c r="CB45" i="1"/>
  <c r="CA45" i="1"/>
  <c r="BZ45" i="1"/>
  <c r="Q45" i="1"/>
  <c r="BY45" i="1" s="1"/>
  <c r="I45" i="1"/>
  <c r="K44" i="1"/>
  <c r="CP44" i="1"/>
  <c r="CB44" i="1"/>
  <c r="CA44" i="1"/>
  <c r="BZ44" i="1"/>
  <c r="Q44" i="1"/>
  <c r="BW44" i="1" s="1"/>
  <c r="I44" i="1"/>
  <c r="K43" i="1"/>
  <c r="CP43" i="1"/>
  <c r="CB43" i="1"/>
  <c r="CA43" i="1"/>
  <c r="BZ43" i="1"/>
  <c r="Q43" i="1"/>
  <c r="BX43" i="1" s="1"/>
  <c r="I43" i="1"/>
  <c r="K42" i="1"/>
  <c r="CP42" i="1"/>
  <c r="CB42" i="1"/>
  <c r="CA42" i="1"/>
  <c r="BZ42" i="1"/>
  <c r="Q42" i="1"/>
  <c r="BY42" i="1" s="1"/>
  <c r="I42" i="1"/>
  <c r="CP41" i="1"/>
  <c r="BX41" i="1"/>
  <c r="K40" i="1"/>
  <c r="CP40" i="1"/>
  <c r="CB40" i="1"/>
  <c r="CA40" i="1"/>
  <c r="BZ40" i="1"/>
  <c r="Q40" i="1"/>
  <c r="BY40" i="1" s="1"/>
  <c r="I40" i="1"/>
  <c r="K39" i="1"/>
  <c r="CB39" i="1"/>
  <c r="CA39" i="1"/>
  <c r="BZ39" i="1"/>
  <c r="Q39" i="1"/>
  <c r="BY39" i="1" s="1"/>
  <c r="I39" i="1"/>
  <c r="K38" i="1"/>
  <c r="CP38" i="1"/>
  <c r="CB38" i="1"/>
  <c r="CA38" i="1"/>
  <c r="BZ38" i="1"/>
  <c r="Q38" i="1"/>
  <c r="BY38" i="1" s="1"/>
  <c r="I38" i="1"/>
  <c r="K37" i="1"/>
  <c r="CP37" i="1"/>
  <c r="CB37" i="1"/>
  <c r="CA37" i="1"/>
  <c r="BZ37" i="1"/>
  <c r="Q37" i="1"/>
  <c r="BY37" i="1" s="1"/>
  <c r="I37" i="1"/>
  <c r="K36" i="1"/>
  <c r="CP36" i="1"/>
  <c r="CB36" i="1"/>
  <c r="CA36" i="1"/>
  <c r="BZ36" i="1"/>
  <c r="Q36" i="1"/>
  <c r="BX36" i="1" s="1"/>
  <c r="I36" i="1"/>
  <c r="BY35" i="1"/>
  <c r="K34" i="1"/>
  <c r="CB34" i="1"/>
  <c r="CA34" i="1"/>
  <c r="BZ34" i="1"/>
  <c r="Q34" i="1"/>
  <c r="BY34" i="1" s="1"/>
  <c r="I34" i="1"/>
  <c r="K32" i="1"/>
  <c r="CB32" i="1"/>
  <c r="CA32" i="1"/>
  <c r="BZ32" i="1"/>
  <c r="Q32" i="1"/>
  <c r="BW32" i="1" s="1"/>
  <c r="I32" i="1"/>
  <c r="K31" i="1"/>
  <c r="CP31" i="1"/>
  <c r="CB31" i="1"/>
  <c r="CA31" i="1"/>
  <c r="BZ31" i="1"/>
  <c r="Q31" i="1"/>
  <c r="BX31" i="1" s="1"/>
  <c r="I31" i="1"/>
  <c r="K30" i="1"/>
  <c r="CP30" i="1"/>
  <c r="CB30" i="1"/>
  <c r="CA30" i="1"/>
  <c r="BZ30" i="1"/>
  <c r="Q30" i="1"/>
  <c r="BY30" i="1" s="1"/>
  <c r="I30" i="1"/>
  <c r="K28" i="1"/>
  <c r="CB28" i="1"/>
  <c r="CA28" i="1"/>
  <c r="BZ28" i="1"/>
  <c r="Q28" i="1"/>
  <c r="BY28" i="1" s="1"/>
  <c r="I28" i="1"/>
  <c r="K27" i="1"/>
  <c r="CP27" i="1"/>
  <c r="CB27" i="1"/>
  <c r="CA27" i="1"/>
  <c r="BZ27" i="1"/>
  <c r="Q27" i="1"/>
  <c r="BW27" i="1" s="1"/>
  <c r="I27" i="1"/>
  <c r="K26" i="1"/>
  <c r="CP26" i="1"/>
  <c r="CB26" i="1"/>
  <c r="CA26" i="1"/>
  <c r="BZ26" i="1"/>
  <c r="Q26" i="1"/>
  <c r="BY24" i="1"/>
  <c r="K23" i="1"/>
  <c r="CB23" i="1"/>
  <c r="CA23" i="1"/>
  <c r="BZ23" i="1"/>
  <c r="Q23" i="1"/>
  <c r="BY23" i="1" s="1"/>
  <c r="I23" i="1"/>
  <c r="K22" i="1"/>
  <c r="CP22" i="1"/>
  <c r="CB22" i="1"/>
  <c r="CA22" i="1"/>
  <c r="BZ22" i="1"/>
  <c r="Q22" i="1"/>
  <c r="BY22" i="1" s="1"/>
  <c r="I22" i="1"/>
  <c r="K21" i="1"/>
  <c r="CP21" i="1"/>
  <c r="CB21" i="1"/>
  <c r="CA21" i="1"/>
  <c r="BZ21" i="1"/>
  <c r="BY21" i="1"/>
  <c r="BX21" i="1"/>
  <c r="BW21" i="1"/>
  <c r="I21" i="1"/>
  <c r="K20" i="1"/>
  <c r="CB20" i="1"/>
  <c r="CA20" i="1"/>
  <c r="BZ20" i="1"/>
  <c r="Q20" i="1"/>
  <c r="BX20" i="1" s="1"/>
  <c r="I20" i="1"/>
  <c r="K19" i="1"/>
  <c r="CP19" i="1"/>
  <c r="CB19" i="1"/>
  <c r="CA19" i="1"/>
  <c r="BZ19" i="1"/>
  <c r="Q19" i="1"/>
  <c r="BX19" i="1" s="1"/>
  <c r="I19" i="1"/>
  <c r="K13" i="1"/>
  <c r="CB13" i="1"/>
  <c r="CA13" i="1"/>
  <c r="BZ13" i="1"/>
  <c r="Q13" i="1"/>
  <c r="BY13" i="1" s="1"/>
  <c r="I13" i="1"/>
  <c r="K12" i="1"/>
  <c r="CP12" i="1"/>
  <c r="CB12" i="1"/>
  <c r="CA12" i="1"/>
  <c r="BZ12" i="1"/>
  <c r="Q12" i="1"/>
  <c r="BW12" i="1" s="1"/>
  <c r="I12" i="1"/>
  <c r="K11" i="1"/>
  <c r="CB11" i="1"/>
  <c r="CA11" i="1"/>
  <c r="BZ11" i="1"/>
  <c r="Q11" i="1"/>
  <c r="BX11" i="1" s="1"/>
  <c r="I11" i="1"/>
  <c r="K10" i="1"/>
  <c r="CB10" i="1"/>
  <c r="CA10" i="1"/>
  <c r="BZ10" i="1"/>
  <c r="Q10" i="1"/>
  <c r="BY10" i="1" s="1"/>
  <c r="I10" i="1"/>
  <c r="BY9" i="1"/>
  <c r="K8" i="1"/>
  <c r="CP8" i="1"/>
  <c r="CB8" i="1"/>
  <c r="CA8" i="1"/>
  <c r="BZ8" i="1"/>
  <c r="Q8" i="1"/>
  <c r="BX8" i="1" s="1"/>
  <c r="I8" i="1"/>
  <c r="K7" i="1"/>
  <c r="CP7" i="1"/>
  <c r="CB7" i="1"/>
  <c r="CA7" i="1"/>
  <c r="BZ7" i="1"/>
  <c r="Q7" i="1"/>
  <c r="BY7" i="1" s="1"/>
  <c r="I7" i="1"/>
  <c r="K6" i="1"/>
  <c r="CP6" i="1"/>
  <c r="CB6" i="1"/>
  <c r="CA6" i="1"/>
  <c r="BZ6" i="1"/>
  <c r="Q6" i="1"/>
  <c r="BY6" i="1" s="1"/>
  <c r="I6" i="1"/>
  <c r="BW135" i="1" l="1"/>
  <c r="BW115" i="1"/>
  <c r="BW141" i="1"/>
  <c r="BX55" i="1"/>
  <c r="BY8" i="1"/>
  <c r="BW56" i="1"/>
  <c r="BX94" i="1"/>
  <c r="BX63" i="1"/>
  <c r="BW121" i="1"/>
  <c r="BX123" i="1"/>
  <c r="BW133" i="1"/>
  <c r="BX51" i="1"/>
  <c r="BW47" i="1"/>
  <c r="BW138" i="1"/>
  <c r="BW139" i="1"/>
  <c r="BY51" i="1"/>
  <c r="BX139" i="1"/>
  <c r="BX32" i="1"/>
  <c r="BY123" i="1"/>
  <c r="BX95" i="1"/>
  <c r="BX37" i="1"/>
  <c r="BY70" i="1"/>
  <c r="BW148" i="1"/>
  <c r="BX148" i="1"/>
  <c r="BY165" i="1"/>
  <c r="BW62" i="1"/>
  <c r="BW107" i="1"/>
  <c r="BY63" i="1"/>
  <c r="BY94" i="1"/>
  <c r="BX98" i="1"/>
  <c r="BW105" i="1"/>
  <c r="BX106" i="1"/>
  <c r="BX13" i="1"/>
  <c r="BW95" i="1"/>
  <c r="BY98" i="1"/>
  <c r="BX9" i="1"/>
  <c r="BW34" i="1"/>
  <c r="BY36" i="1"/>
  <c r="BW37" i="1"/>
  <c r="BW72" i="1"/>
  <c r="BW145" i="1"/>
  <c r="BY32" i="1"/>
  <c r="BX34" i="1"/>
  <c r="BW55" i="1"/>
  <c r="BX56" i="1"/>
  <c r="BY60" i="1"/>
  <c r="BW88" i="1"/>
  <c r="BY106" i="1"/>
  <c r="BX107" i="1"/>
  <c r="BY142" i="1"/>
  <c r="BW172" i="1"/>
  <c r="BX173" i="1"/>
  <c r="BW9" i="1"/>
  <c r="BX44" i="1"/>
  <c r="BX102" i="1"/>
  <c r="BW108" i="1"/>
  <c r="BY173" i="1"/>
  <c r="BW39" i="1"/>
  <c r="BY44" i="1"/>
  <c r="BX108" i="1"/>
  <c r="BW23" i="1"/>
  <c r="BX39" i="1"/>
  <c r="BX80" i="1"/>
  <c r="BX147" i="1"/>
  <c r="BY20" i="1"/>
  <c r="BX23" i="1"/>
  <c r="BX72" i="1"/>
  <c r="BY80" i="1"/>
  <c r="BY147" i="1"/>
  <c r="BX35" i="1"/>
  <c r="BW60" i="1"/>
  <c r="BW136" i="1"/>
  <c r="BX142" i="1"/>
  <c r="BY11" i="1"/>
  <c r="BX12" i="1"/>
  <c r="BX27" i="1"/>
  <c r="BW30" i="1"/>
  <c r="BW42" i="1"/>
  <c r="BX58" i="1"/>
  <c r="BX65" i="1"/>
  <c r="BW66" i="1"/>
  <c r="BX81" i="1"/>
  <c r="BX84" i="1"/>
  <c r="BX110" i="1"/>
  <c r="BW111" i="1"/>
  <c r="BX114" i="1"/>
  <c r="BX125" i="1"/>
  <c r="BW127" i="1"/>
  <c r="BX129" i="1"/>
  <c r="BX134" i="1"/>
  <c r="BX155" i="1"/>
  <c r="BW180" i="1"/>
  <c r="BY12" i="1"/>
  <c r="BW13" i="1"/>
  <c r="BY27" i="1"/>
  <c r="BX30" i="1"/>
  <c r="BY31" i="1"/>
  <c r="BW35" i="1"/>
  <c r="BX42" i="1"/>
  <c r="BY43" i="1"/>
  <c r="BY58" i="1"/>
  <c r="BY65" i="1"/>
  <c r="BX66" i="1"/>
  <c r="BY84" i="1"/>
  <c r="BY110" i="1"/>
  <c r="BX111" i="1"/>
  <c r="BY114" i="1"/>
  <c r="BY125" i="1"/>
  <c r="BY129" i="1"/>
  <c r="BY134" i="1"/>
  <c r="BY155" i="1"/>
  <c r="BX180" i="1"/>
  <c r="BX88" i="1"/>
  <c r="BW89" i="1"/>
  <c r="BY102" i="1"/>
  <c r="BW103" i="1"/>
  <c r="BX115" i="1"/>
  <c r="BW116" i="1"/>
  <c r="BW130" i="1"/>
  <c r="BX135" i="1"/>
  <c r="BX138" i="1"/>
  <c r="BX145" i="1"/>
  <c r="BW152" i="1"/>
  <c r="BW86" i="1"/>
  <c r="BX89" i="1"/>
  <c r="BW90" i="1"/>
  <c r="BX103" i="1"/>
  <c r="BX116" i="1"/>
  <c r="BX130" i="1"/>
  <c r="BX152" i="1"/>
  <c r="BW8" i="1"/>
  <c r="BY19" i="1"/>
  <c r="BW20" i="1"/>
  <c r="BW24" i="1"/>
  <c r="BY41" i="1"/>
  <c r="BX67" i="1"/>
  <c r="BW70" i="1"/>
  <c r="BX90" i="1"/>
  <c r="BX165" i="1"/>
  <c r="BX24" i="1"/>
  <c r="BY67" i="1"/>
  <c r="BW81" i="1"/>
  <c r="BW144" i="1"/>
  <c r="BW28" i="1"/>
  <c r="BW38" i="1"/>
  <c r="BW45" i="1"/>
  <c r="BW61" i="1"/>
  <c r="BW73" i="1"/>
  <c r="BW75" i="1"/>
  <c r="BW93" i="1"/>
  <c r="BW101" i="1"/>
  <c r="BW104" i="1"/>
  <c r="BW112" i="1"/>
  <c r="BW119" i="1"/>
  <c r="BW126" i="1"/>
  <c r="BW131" i="1"/>
  <c r="BW132" i="1"/>
  <c r="BW143" i="1"/>
  <c r="BW146" i="1"/>
  <c r="BW153" i="1"/>
  <c r="BW162" i="1"/>
  <c r="BW157" i="1"/>
  <c r="BW6" i="1"/>
  <c r="BX22" i="1"/>
  <c r="BX28" i="1"/>
  <c r="BX38" i="1"/>
  <c r="BX45" i="1"/>
  <c r="BW53" i="1"/>
  <c r="BW57" i="1"/>
  <c r="BW59" i="1"/>
  <c r="BX61" i="1"/>
  <c r="BX73" i="1"/>
  <c r="BX75" i="1"/>
  <c r="BW76" i="1"/>
  <c r="BW77" i="1"/>
  <c r="BW82" i="1"/>
  <c r="BW83" i="1"/>
  <c r="BX93" i="1"/>
  <c r="BW96" i="1"/>
  <c r="BX101" i="1"/>
  <c r="BX104" i="1"/>
  <c r="BW109" i="1"/>
  <c r="BX112" i="1"/>
  <c r="BW117" i="1"/>
  <c r="BX119" i="1"/>
  <c r="BX126" i="1"/>
  <c r="BX131" i="1"/>
  <c r="BX132" i="1"/>
  <c r="BX143" i="1"/>
  <c r="BX146" i="1"/>
  <c r="BW150" i="1"/>
  <c r="BX153" i="1"/>
  <c r="BX162" i="1"/>
  <c r="BX157" i="1"/>
  <c r="BX53" i="1"/>
  <c r="BX57" i="1"/>
  <c r="BX59" i="1"/>
  <c r="BX76" i="1"/>
  <c r="BX77" i="1"/>
  <c r="BX82" i="1"/>
  <c r="BX83" i="1"/>
  <c r="BX96" i="1"/>
  <c r="BX109" i="1"/>
  <c r="BX117" i="1"/>
  <c r="BX150" i="1"/>
  <c r="BX6" i="1"/>
  <c r="BW7" i="1"/>
  <c r="BW10" i="1"/>
  <c r="BW40" i="1"/>
  <c r="BX47" i="1"/>
  <c r="BW48" i="1"/>
  <c r="BW54" i="1"/>
  <c r="BX62" i="1"/>
  <c r="BW79" i="1"/>
  <c r="BX86" i="1"/>
  <c r="BW87" i="1"/>
  <c r="BW97" i="1"/>
  <c r="BX105" i="1"/>
  <c r="BW113" i="1"/>
  <c r="BX121" i="1"/>
  <c r="BX127" i="1"/>
  <c r="BX133" i="1"/>
  <c r="BX136" i="1"/>
  <c r="BW137" i="1"/>
  <c r="BX141" i="1"/>
  <c r="BX144" i="1"/>
  <c r="BW154" i="1"/>
  <c r="BX172" i="1"/>
  <c r="BW22" i="1"/>
  <c r="BX7" i="1"/>
  <c r="BX10" i="1"/>
  <c r="BW11" i="1"/>
  <c r="BW19" i="1"/>
  <c r="BW31" i="1"/>
  <c r="BW36" i="1"/>
  <c r="BX40" i="1"/>
  <c r="BW41" i="1"/>
  <c r="BW43" i="1"/>
  <c r="BX48" i="1"/>
  <c r="BX54" i="1"/>
  <c r="BX79" i="1"/>
  <c r="BX87" i="1"/>
  <c r="BX97" i="1"/>
  <c r="BX113" i="1"/>
  <c r="BX137" i="1"/>
  <c r="BX154" i="1"/>
</calcChain>
</file>

<file path=xl/sharedStrings.xml><?xml version="1.0" encoding="utf-8"?>
<sst xmlns="http://schemas.openxmlformats.org/spreadsheetml/2006/main" count="1223" uniqueCount="542">
  <si>
    <t>pH</t>
  </si>
  <si>
    <t>F</t>
  </si>
  <si>
    <t>Cl</t>
  </si>
  <si>
    <t>SO4</t>
  </si>
  <si>
    <t>Сl</t>
  </si>
  <si>
    <t>Na</t>
  </si>
  <si>
    <t>Ca</t>
  </si>
  <si>
    <t>Mg</t>
  </si>
  <si>
    <t>He</t>
  </si>
  <si>
    <t>Ar</t>
  </si>
  <si>
    <t>Li</t>
  </si>
  <si>
    <t>B</t>
  </si>
  <si>
    <t>Al</t>
  </si>
  <si>
    <t>Si</t>
  </si>
  <si>
    <t>P</t>
  </si>
  <si>
    <t>S</t>
  </si>
  <si>
    <t>K</t>
  </si>
  <si>
    <t>V</t>
  </si>
  <si>
    <t>Cr</t>
  </si>
  <si>
    <t>Mn</t>
  </si>
  <si>
    <t>Fe</t>
  </si>
  <si>
    <t>Co</t>
  </si>
  <si>
    <t>Ni</t>
  </si>
  <si>
    <t>Cu</t>
  </si>
  <si>
    <t>Zn</t>
  </si>
  <si>
    <t>Ge</t>
  </si>
  <si>
    <t>As</t>
  </si>
  <si>
    <t>Br</t>
  </si>
  <si>
    <t>Sr</t>
  </si>
  <si>
    <t>Ba</t>
  </si>
  <si>
    <t>Y</t>
  </si>
  <si>
    <t>Zr</t>
  </si>
  <si>
    <t>Nb</t>
  </si>
  <si>
    <t>Mo</t>
  </si>
  <si>
    <t>Ag</t>
  </si>
  <si>
    <t>Cd</t>
  </si>
  <si>
    <t>Sn</t>
  </si>
  <si>
    <t>Sb</t>
  </si>
  <si>
    <t>Rb</t>
  </si>
  <si>
    <t>Cs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</si>
  <si>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</si>
  <si>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</si>
  <si>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</si>
  <si>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</si>
  <si>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</si>
  <si>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</si>
  <si>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</si>
  <si>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</si>
  <si>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</si>
  <si>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</si>
  <si>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</si>
  <si>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</si>
  <si>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</si>
  <si>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</si>
  <si>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</si>
  <si>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</si>
  <si>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</si>
  <si>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Re</t>
  </si>
  <si>
    <t>Tl</t>
  </si>
  <si>
    <t>Pb</t>
  </si>
  <si>
    <t>Bi</t>
  </si>
  <si>
    <t>Th</t>
  </si>
  <si>
    <t>U</t>
  </si>
  <si>
    <t>mV</t>
  </si>
  <si>
    <t>10-20</t>
  </si>
  <si>
    <t xml:space="preserve">Шапсугский </t>
  </si>
  <si>
    <t>&lt;0,3</t>
  </si>
  <si>
    <t>47/01</t>
  </si>
  <si>
    <t>Семигорский</t>
  </si>
  <si>
    <t>&lt; 0,1</t>
  </si>
  <si>
    <t>&lt; 71</t>
  </si>
  <si>
    <t>&lt; 3</t>
  </si>
  <si>
    <t>&lt; 8</t>
  </si>
  <si>
    <t>&lt; 4</t>
  </si>
  <si>
    <t>&lt; 0,2</t>
  </si>
  <si>
    <t>&lt; 1</t>
  </si>
  <si>
    <t>&lt; 0,3</t>
  </si>
  <si>
    <t>&lt; 0,04</t>
  </si>
  <si>
    <t>&lt; 0,02</t>
  </si>
  <si>
    <t>&lt; 0,08</t>
  </si>
  <si>
    <t>&lt; 0,03</t>
  </si>
  <si>
    <t>&lt; 0,05</t>
  </si>
  <si>
    <t>&lt; 0,01</t>
  </si>
  <si>
    <t>&lt; 0,12</t>
  </si>
  <si>
    <t>&lt; 0,07</t>
  </si>
  <si>
    <t>14-1/09</t>
  </si>
  <si>
    <t>Семигорский, сальза 1</t>
  </si>
  <si>
    <t>14-2/09</t>
  </si>
  <si>
    <t>Семигорский, сальза 2</t>
  </si>
  <si>
    <t>14-3/09</t>
  </si>
  <si>
    <t>Семигорский, сальза 3</t>
  </si>
  <si>
    <t>11-20</t>
  </si>
  <si>
    <t>48/01</t>
  </si>
  <si>
    <t>Гладковский, центральная сальза</t>
  </si>
  <si>
    <t>&lt; 156</t>
  </si>
  <si>
    <t>&lt; 5</t>
  </si>
  <si>
    <t>&lt; 2</t>
  </si>
  <si>
    <t>&lt; 0,6</t>
  </si>
  <si>
    <t>&lt; 0,4</t>
  </si>
  <si>
    <t>&lt; 0,5</t>
  </si>
  <si>
    <t>&lt; 0,18</t>
  </si>
  <si>
    <t>&lt; 0,16</t>
  </si>
  <si>
    <t>&lt; 0,067</t>
  </si>
  <si>
    <t>&lt; 0,11</t>
  </si>
  <si>
    <t>&lt; 0,09</t>
  </si>
  <si>
    <t>&lt; 0,48</t>
  </si>
  <si>
    <t>2/09БГ</t>
  </si>
  <si>
    <t>Гладковский, центральный, сальза 1</t>
  </si>
  <si>
    <t>2-1/09</t>
  </si>
  <si>
    <t>2-4/09</t>
  </si>
  <si>
    <t>Гладковский, центральный, сальза 4</t>
  </si>
  <si>
    <t>2-8/09</t>
  </si>
  <si>
    <t>Гладковский, центральный, сальза 8</t>
  </si>
  <si>
    <t>2-12/09</t>
  </si>
  <si>
    <t>Гладковский, центральный, сальза 12</t>
  </si>
  <si>
    <t>2-13/09</t>
  </si>
  <si>
    <t>Гладковский, центральный, сальза 13</t>
  </si>
  <si>
    <t>13-20</t>
  </si>
  <si>
    <t>Гладковский, центральный, сальза А</t>
  </si>
  <si>
    <t>13-20-1</t>
  </si>
  <si>
    <t>Гладковский, центральный, сальза Б</t>
  </si>
  <si>
    <t>13-20-2</t>
  </si>
  <si>
    <t>Гладковский, северная группа сальз</t>
  </si>
  <si>
    <t>49/01</t>
  </si>
  <si>
    <t>Шуго</t>
  </si>
  <si>
    <t>&lt; 6</t>
  </si>
  <si>
    <t>&lt; 0,14</t>
  </si>
  <si>
    <t>3-1/09 БГ</t>
  </si>
  <si>
    <t>3-2/09</t>
  </si>
  <si>
    <t>3-3/09</t>
  </si>
  <si>
    <t>14-20</t>
  </si>
  <si>
    <t>50/01</t>
  </si>
  <si>
    <t>Восток</t>
  </si>
  <si>
    <t>15/09</t>
  </si>
  <si>
    <t>15/09БГ</t>
  </si>
  <si>
    <t>15-20</t>
  </si>
  <si>
    <t>63/01</t>
  </si>
  <si>
    <t>Гнилая, южная группа</t>
  </si>
  <si>
    <t>&lt; 0,06</t>
  </si>
  <si>
    <t>9-2/09БГ</t>
  </si>
  <si>
    <t>Гнилая, центр, сальза рядом с озером</t>
  </si>
  <si>
    <t>9-2/09</t>
  </si>
  <si>
    <t>9-3/09</t>
  </si>
  <si>
    <t>9-1/09</t>
  </si>
  <si>
    <t>Гнилая</t>
  </si>
  <si>
    <t>2-20</t>
  </si>
  <si>
    <t>Гнилая, южная группа сальз</t>
  </si>
  <si>
    <t>2-20-2</t>
  </si>
  <si>
    <t>Гнилая северная</t>
  </si>
  <si>
    <t>62/01</t>
  </si>
  <si>
    <t>Миска</t>
  </si>
  <si>
    <t>&lt; 10</t>
  </si>
  <si>
    <t>Т-17-10-1</t>
  </si>
  <si>
    <t xml:space="preserve"> Курчанский (Дачный)</t>
  </si>
  <si>
    <t>8,7/9,43</t>
  </si>
  <si>
    <t>52/01</t>
  </si>
  <si>
    <t>Поливадина</t>
  </si>
  <si>
    <t>5/09</t>
  </si>
  <si>
    <t>8-20</t>
  </si>
  <si>
    <t>51/01</t>
  </si>
  <si>
    <t>Бугазский</t>
  </si>
  <si>
    <t>4-1/09</t>
  </si>
  <si>
    <t>4-2/09</t>
  </si>
  <si>
    <t>4-3/09 БГ</t>
  </si>
  <si>
    <t xml:space="preserve">4-3/09 </t>
  </si>
  <si>
    <t>7-20</t>
  </si>
  <si>
    <t>7-20-1</t>
  </si>
  <si>
    <t>Бугазский центр</t>
  </si>
  <si>
    <t>1/09-БГ</t>
  </si>
  <si>
    <t>Карабетова гора</t>
  </si>
  <si>
    <t>1/09</t>
  </si>
  <si>
    <t>53/01</t>
  </si>
  <si>
    <t>53-1/01</t>
  </si>
  <si>
    <t>9-20</t>
  </si>
  <si>
    <t>6-1/09</t>
  </si>
  <si>
    <t>Шапурский</t>
  </si>
  <si>
    <t>6-2/09</t>
  </si>
  <si>
    <t>6-3/09</t>
  </si>
  <si>
    <t>6-4/09</t>
  </si>
  <si>
    <t>6-5/09</t>
  </si>
  <si>
    <t>54/01</t>
  </si>
  <si>
    <t>&lt; 20</t>
  </si>
  <si>
    <t>18-20</t>
  </si>
  <si>
    <t>55/01</t>
  </si>
  <si>
    <t>Южно-Нефтяной</t>
  </si>
  <si>
    <t>7/09</t>
  </si>
  <si>
    <t>12-20</t>
  </si>
  <si>
    <t>&lt; 1.4</t>
  </si>
  <si>
    <t>&lt; 0.11</t>
  </si>
  <si>
    <t>17-20</t>
  </si>
  <si>
    <t>Ист на вост склоне Южно-Нефтяного</t>
  </si>
  <si>
    <t>8/09</t>
  </si>
  <si>
    <t>Северно-Нефтяной</t>
  </si>
  <si>
    <t>16-20</t>
  </si>
  <si>
    <t>5-20</t>
  </si>
  <si>
    <t>Ахтанизовский</t>
  </si>
  <si>
    <t xml:space="preserve"> </t>
  </si>
  <si>
    <t>61/01</t>
  </si>
  <si>
    <t>Сопка</t>
  </si>
  <si>
    <t>11/09 БГ</t>
  </si>
  <si>
    <t>11/09</t>
  </si>
  <si>
    <t>3-20</t>
  </si>
  <si>
    <t>60/01</t>
  </si>
  <si>
    <t>Синяя балка (Тиздар)</t>
  </si>
  <si>
    <t>56/01</t>
  </si>
  <si>
    <t>Центральные Цимбалы</t>
  </si>
  <si>
    <t>17/09</t>
  </si>
  <si>
    <t>17-1/09</t>
  </si>
  <si>
    <t>16/09</t>
  </si>
  <si>
    <t>Западные Цимбалы</t>
  </si>
  <si>
    <t>T-17-16-8</t>
  </si>
  <si>
    <t>Западные Цимбалы (вершина)</t>
  </si>
  <si>
    <t>6-20</t>
  </si>
  <si>
    <t>59/01</t>
  </si>
  <si>
    <t>Фонталовский</t>
  </si>
  <si>
    <t>&lt; 312</t>
  </si>
  <si>
    <t>&lt; 9</t>
  </si>
  <si>
    <t>&lt; 12</t>
  </si>
  <si>
    <t>&lt; 0,8</t>
  </si>
  <si>
    <t>&lt; 0,7</t>
  </si>
  <si>
    <t>&lt; 0,9</t>
  </si>
  <si>
    <t>&lt; 1,0</t>
  </si>
  <si>
    <t>57/01</t>
  </si>
  <si>
    <t>Кучугурский</t>
  </si>
  <si>
    <t>13-1/09</t>
  </si>
  <si>
    <t>13-2/09</t>
  </si>
  <si>
    <t>1-20</t>
  </si>
  <si>
    <t>Кучугурский (боковая сальза)</t>
  </si>
  <si>
    <t>1-20-1</t>
  </si>
  <si>
    <t>Т-17-4-3</t>
  </si>
  <si>
    <r>
      <t>Кучугурский, H</t>
    </r>
    <r>
      <rPr>
        <vertAlign val="sub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S грифон  у берега Азовского моря</t>
    </r>
  </si>
  <si>
    <t>58/01</t>
  </si>
  <si>
    <t>Чушка (верхняя сальза)</t>
  </si>
  <si>
    <t>12/09</t>
  </si>
  <si>
    <t>12-1/09</t>
  </si>
  <si>
    <t>Чушка (нижняя сальза)</t>
  </si>
  <si>
    <t>4-20</t>
  </si>
  <si>
    <t>9-15</t>
  </si>
  <si>
    <t>Еникльский</t>
  </si>
  <si>
    <t>9-2-15</t>
  </si>
  <si>
    <t>Еникальский, восточная сальза</t>
  </si>
  <si>
    <t>26-20</t>
  </si>
  <si>
    <t>208-17</t>
  </si>
  <si>
    <t xml:space="preserve">Еникальский </t>
  </si>
  <si>
    <t>208-1-17</t>
  </si>
  <si>
    <t>E-17-4-4</t>
  </si>
  <si>
    <t>Еникальский, небольшая сальза</t>
  </si>
  <si>
    <t>26-20-1</t>
  </si>
  <si>
    <t>Еникальский (кратерное поле)</t>
  </si>
  <si>
    <t>209-17</t>
  </si>
  <si>
    <t>нефтяной источник рядом с с. Глазовка</t>
  </si>
  <si>
    <t>3-15</t>
  </si>
  <si>
    <t>Ольденбургского, сальза 1-1</t>
  </si>
  <si>
    <t>202-1-17</t>
  </si>
  <si>
    <t>Ольденбургского, сальза 1</t>
  </si>
  <si>
    <t>202-2-17</t>
  </si>
  <si>
    <t>Ольденбургского, сальза 2</t>
  </si>
  <si>
    <t>202-3-17</t>
  </si>
  <si>
    <t>Ольденбургского, сальза 3</t>
  </si>
  <si>
    <t>202-4-17</t>
  </si>
  <si>
    <t>Ольденбургского, сальза 4</t>
  </si>
  <si>
    <t>202-5-17</t>
  </si>
  <si>
    <t>Ольденбургского, сальза 5</t>
  </si>
  <si>
    <t>19-20</t>
  </si>
  <si>
    <t xml:space="preserve">Ольденбургского, сальза 1 </t>
  </si>
  <si>
    <t>19-20-1</t>
  </si>
  <si>
    <t>4-15</t>
  </si>
  <si>
    <t>сопка Андрусова боковая сальза</t>
  </si>
  <si>
    <t>203-17</t>
  </si>
  <si>
    <t>22-20</t>
  </si>
  <si>
    <t>-</t>
  </si>
  <si>
    <t>5-15</t>
  </si>
  <si>
    <t>Булганакская группа, сопка Булганакская</t>
  </si>
  <si>
    <t>B-17-5-1</t>
  </si>
  <si>
    <t>Булганакская группа, газирующее озероцо рядом с пересохшей кальдерой вулкана</t>
  </si>
  <si>
    <t>201-17</t>
  </si>
  <si>
    <t>Булганакская группа, небольшая сальза рядом с центральным озером</t>
  </si>
  <si>
    <t>201-1-17</t>
  </si>
  <si>
    <t>Булганакская группа, центральное озеро</t>
  </si>
  <si>
    <t>21-20</t>
  </si>
  <si>
    <t>Центральное озеро (Булганакская группа)</t>
  </si>
  <si>
    <t>B-17-4-5</t>
  </si>
  <si>
    <t>Пересыхающий водоток рядом с Центральным озером (Булганакская группа)</t>
  </si>
  <si>
    <t xml:space="preserve"> 36,479058'</t>
  </si>
  <si>
    <t>20-20</t>
  </si>
  <si>
    <t>Сопка Павлова (озеро)</t>
  </si>
  <si>
    <t>Tish-17-5-9</t>
  </si>
  <si>
    <t>Сопка Тищенко, H2S грифон</t>
  </si>
  <si>
    <t>27-20</t>
  </si>
  <si>
    <t>Сопка Тищенко</t>
  </si>
  <si>
    <t>8-15</t>
  </si>
  <si>
    <t>Тарханский</t>
  </si>
  <si>
    <t>7-15</t>
  </si>
  <si>
    <t>Большой Тарханский вулкан, гл.выход (1) - травертиновый.</t>
  </si>
  <si>
    <t>204-17</t>
  </si>
  <si>
    <t>28-20</t>
  </si>
  <si>
    <t>204-1-17</t>
  </si>
  <si>
    <t>Большой Тарханский, 2-ой выход</t>
  </si>
  <si>
    <t>204-2-17</t>
  </si>
  <si>
    <t>Большой Тарханский, 3-ий выход</t>
  </si>
  <si>
    <t>204-3-17</t>
  </si>
  <si>
    <t>Большой Тарханский, 4-ый выход у склона долины</t>
  </si>
  <si>
    <t>28-20-1</t>
  </si>
  <si>
    <t>Большой Тарханский сальза на солончаке</t>
  </si>
  <si>
    <t>17-15</t>
  </si>
  <si>
    <t>Солдатско-Слободской</t>
  </si>
  <si>
    <t>SS-17-1-6</t>
  </si>
  <si>
    <t>SS-17-3-4</t>
  </si>
  <si>
    <t>25-20</t>
  </si>
  <si>
    <t>19-15</t>
  </si>
  <si>
    <t>Чонгеленский (Тобечик), грязевой вулкан</t>
  </si>
  <si>
    <t>205-17</t>
  </si>
  <si>
    <t>19-1-15</t>
  </si>
  <si>
    <t>Чонгеленский (Тобечик), нефтяной источник</t>
  </si>
  <si>
    <t>205-1-17</t>
  </si>
  <si>
    <t>23-20</t>
  </si>
  <si>
    <t>16-15</t>
  </si>
  <si>
    <t>Бурашский</t>
  </si>
  <si>
    <t>34-20</t>
  </si>
  <si>
    <t>1-2-15</t>
  </si>
  <si>
    <t xml:space="preserve">Сююрташский </t>
  </si>
  <si>
    <t>1-3-15</t>
  </si>
  <si>
    <t xml:space="preserve">Сююрташский, сероводородный источник </t>
  </si>
  <si>
    <t>20-15</t>
  </si>
  <si>
    <t>Борух-Оба (старая газирующая скважина)</t>
  </si>
  <si>
    <t>33-20</t>
  </si>
  <si>
    <t>21-15</t>
  </si>
  <si>
    <t>Борух-Оба, вулкан</t>
  </si>
  <si>
    <t>32-20</t>
  </si>
  <si>
    <t>23-15</t>
  </si>
  <si>
    <t>ист. Сеит-Эли</t>
  </si>
  <si>
    <t>13-15</t>
  </si>
  <si>
    <t>Королёвский (озеро у подножья Королёвской сопки)</t>
  </si>
  <si>
    <t>&lt;0,1</t>
  </si>
  <si>
    <t>Kr-17-6-1</t>
  </si>
  <si>
    <t>29-20</t>
  </si>
  <si>
    <t>11-15</t>
  </si>
  <si>
    <t>Насырский</t>
  </si>
  <si>
    <t>207-17</t>
  </si>
  <si>
    <t>30-20</t>
  </si>
  <si>
    <t>10-15</t>
  </si>
  <si>
    <t>Арма-Эли (боковая сальза)</t>
  </si>
  <si>
    <t>31-20</t>
  </si>
  <si>
    <t xml:space="preserve">206-17  </t>
  </si>
  <si>
    <t xml:space="preserve">Владиславовский </t>
  </si>
  <si>
    <t>35-20</t>
  </si>
  <si>
    <t>Владиславовский</t>
  </si>
  <si>
    <t>10-20Р</t>
  </si>
  <si>
    <t>река (недалеко от вулкана Шапсугский)</t>
  </si>
  <si>
    <t>8p/09</t>
  </si>
  <si>
    <t>10p/09</t>
  </si>
  <si>
    <t>озеро на в.Миска</t>
  </si>
  <si>
    <t>12/09 БГ</t>
  </si>
  <si>
    <t>Лиман, рядом с в.Чушка</t>
  </si>
  <si>
    <t>12р/09</t>
  </si>
  <si>
    <t>4-20р</t>
  </si>
  <si>
    <t>16/09p</t>
  </si>
  <si>
    <t>Озеро на в. Западные Цимбалы</t>
  </si>
  <si>
    <t>Темрюк, вода из водопровода</t>
  </si>
  <si>
    <t>14-15</t>
  </si>
  <si>
    <t>Колодец рядом с с. Новоселовка</t>
  </si>
  <si>
    <t>12-15</t>
  </si>
  <si>
    <t>мыс Казантип, нефтяная скважина</t>
  </si>
  <si>
    <t>24-15</t>
  </si>
  <si>
    <t xml:space="preserve">Азовское море </t>
  </si>
  <si>
    <t>25-15</t>
  </si>
  <si>
    <t>база с. Золотое, частная скв.</t>
  </si>
  <si>
    <t>26-15</t>
  </si>
  <si>
    <t>пресный источник с. Новоотрадное</t>
  </si>
  <si>
    <t>10-20-1р</t>
  </si>
  <si>
    <t>дождь в р-не Шапсугского вулкана</t>
  </si>
  <si>
    <t>26-20 р</t>
  </si>
  <si>
    <t>Колодец рядом с Еникальским вулканом</t>
  </si>
  <si>
    <t>озеро Кояшское (соленое)</t>
  </si>
  <si>
    <t>Ch-20-1-2</t>
  </si>
  <si>
    <t>озеро Чокрак (соленое).</t>
  </si>
  <si>
    <t>Тв-20-27</t>
  </si>
  <si>
    <t>озеро Тобечик (соленое)</t>
  </si>
  <si>
    <t>2-15</t>
  </si>
  <si>
    <t>%</t>
  </si>
  <si>
    <t>‰</t>
  </si>
  <si>
    <r>
      <rPr>
        <vertAlign val="superscript"/>
        <sz val="11"/>
        <rFont val="Times New Roman"/>
        <family val="1"/>
        <charset val="204"/>
      </rPr>
      <t>о</t>
    </r>
    <r>
      <rPr>
        <sz val="11"/>
        <rFont val="Times New Roman"/>
        <family val="1"/>
        <charset val="204"/>
      </rPr>
      <t>С</t>
    </r>
  </si>
  <si>
    <r>
      <t>Кучугурский (H</t>
    </r>
    <r>
      <rPr>
        <vertAlign val="sub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S источник)</t>
    </r>
  </si>
  <si>
    <t xml:space="preserve">с. Войково, скв., глубина 400м </t>
  </si>
  <si>
    <r>
      <t>НСО</t>
    </r>
    <r>
      <rPr>
        <b/>
        <vertAlign val="subscript"/>
        <sz val="11"/>
        <rFont val="Times New Roman"/>
        <family val="1"/>
        <charset val="204"/>
      </rPr>
      <t>3</t>
    </r>
  </si>
  <si>
    <r>
      <t>H</t>
    </r>
    <r>
      <rPr>
        <vertAlign val="sub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S источник </t>
    </r>
  </si>
  <si>
    <r>
      <t>δ</t>
    </r>
    <r>
      <rPr>
        <b/>
        <vertAlign val="superscript"/>
        <sz val="11"/>
        <rFont val="Times New Roman"/>
        <family val="1"/>
        <charset val="204"/>
      </rPr>
      <t>13</t>
    </r>
    <r>
      <rPr>
        <b/>
        <sz val="11"/>
        <rFont val="Times New Roman"/>
        <family val="1"/>
        <charset val="204"/>
      </rPr>
      <t>C (TDIC)</t>
    </r>
  </si>
  <si>
    <r>
      <t>δ</t>
    </r>
    <r>
      <rPr>
        <b/>
        <vertAlign val="superscript"/>
        <sz val="11"/>
        <rFont val="Times New Roman"/>
        <family val="1"/>
        <charset val="204"/>
      </rPr>
      <t>18</t>
    </r>
    <r>
      <rPr>
        <b/>
        <sz val="11"/>
        <rFont val="Times New Roman"/>
        <family val="1"/>
        <charset val="204"/>
      </rPr>
      <t>O(H</t>
    </r>
    <r>
      <rPr>
        <b/>
        <vertAlign val="sub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>O)</t>
    </r>
  </si>
  <si>
    <r>
      <t>δD (H</t>
    </r>
    <r>
      <rPr>
        <b/>
        <vertAlign val="sub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>O)</t>
    </r>
  </si>
  <si>
    <t xml:space="preserve">Shapsugsky </t>
  </si>
  <si>
    <t>Semigorsky</t>
  </si>
  <si>
    <t>Semigorsky, salsa 1</t>
  </si>
  <si>
    <t>Semigorsky, salsa 3</t>
  </si>
  <si>
    <t>Semigorsky, salsa 2</t>
  </si>
  <si>
    <t xml:space="preserve">Gladkovsky, central, salsa </t>
  </si>
  <si>
    <t>Gladkovsky, central, salsa 1</t>
  </si>
  <si>
    <t>Gladkovsky, central, salsa А</t>
  </si>
  <si>
    <t>Gladkovsky, the north group of salsas</t>
  </si>
  <si>
    <t>Gladkovsky, central, salsa 4</t>
  </si>
  <si>
    <t>Gladkovsky, central, salsa 8</t>
  </si>
  <si>
    <t>Gladkovsky, central, salsa Б</t>
  </si>
  <si>
    <t>Gladkovsky, central, salsa 13</t>
  </si>
  <si>
    <t>Gladkovsky, central, salsa 12</t>
  </si>
  <si>
    <t>Shugo</t>
  </si>
  <si>
    <t>Vostok</t>
  </si>
  <si>
    <t>Gnilaya, southern salz group</t>
  </si>
  <si>
    <t>Gnilaya, center, salsa near lake</t>
  </si>
  <si>
    <t>Gnilaya, southern group of salsas</t>
  </si>
  <si>
    <t>Gnilaya, the north group of salsas</t>
  </si>
  <si>
    <t>Gnilaya</t>
  </si>
  <si>
    <t>Miska</t>
  </si>
  <si>
    <t xml:space="preserve"> Kurchansky (Dachnyi)</t>
  </si>
  <si>
    <t>Polivadina</t>
  </si>
  <si>
    <t>Bugazsky</t>
  </si>
  <si>
    <t>Karabetova Gora</t>
  </si>
  <si>
    <t xml:space="preserve">Shapursky </t>
  </si>
  <si>
    <t>Shapursky</t>
  </si>
  <si>
    <t>Yuzhno-Neftyanoi</t>
  </si>
  <si>
    <t xml:space="preserve">Spring on the eastern slope of Yuzhno-Neftyanoi </t>
  </si>
  <si>
    <t xml:space="preserve">Severo-Neftyanoi </t>
  </si>
  <si>
    <t>Sopka</t>
  </si>
  <si>
    <t>Akhtanizovsky</t>
  </si>
  <si>
    <t>Sinyaya Balka (Tizdar)</t>
  </si>
  <si>
    <t>Central Tsymbaly</t>
  </si>
  <si>
    <t>Western Tsymbaly (the top)</t>
  </si>
  <si>
    <t xml:space="preserve">Western Tsymbaly </t>
  </si>
  <si>
    <t>Fontalovsky</t>
  </si>
  <si>
    <t>Kuchugursky</t>
  </si>
  <si>
    <t>Kuchugursky (satellite salsa)</t>
  </si>
  <si>
    <t>Chushka (upper salsa)</t>
  </si>
  <si>
    <t>Chushka (lower salsa)</t>
  </si>
  <si>
    <t>Eny-Kale</t>
  </si>
  <si>
    <t>Eny-Kale, eastern salsa</t>
  </si>
  <si>
    <t xml:space="preserve">Eny-Kale </t>
  </si>
  <si>
    <t>Eny-Kale, small salsa</t>
  </si>
  <si>
    <t>Oldenburgsky, salsa 1-1</t>
  </si>
  <si>
    <t>Oldenburgsky, salsa 1</t>
  </si>
  <si>
    <t>Oldenburgsky, salsa 2</t>
  </si>
  <si>
    <t>Oldenburgsky, salsa 3</t>
  </si>
  <si>
    <t>Oldenburgsky, salsa 4</t>
  </si>
  <si>
    <t>Oldenburgsky, salsa 5</t>
  </si>
  <si>
    <t xml:space="preserve">Oldenburgsky, salsa 1 </t>
  </si>
  <si>
    <t>Andrusov Hill, satellite salsa</t>
  </si>
  <si>
    <t>Bulganak field, Bulganak Hill</t>
  </si>
  <si>
    <t xml:space="preserve">Bulganak field, bubbling lake near overdried caldera </t>
  </si>
  <si>
    <t>Bulganak field, small salsa near Central Lake</t>
  </si>
  <si>
    <t>Bulganak field, Central Lake</t>
  </si>
  <si>
    <t>Overdried stream nearby Central Lake (Bulganak Group)</t>
  </si>
  <si>
    <t>Pavlov Hill (lake)</t>
  </si>
  <si>
    <t>Tishchenko Hill, H2S gryphon</t>
  </si>
  <si>
    <t>Tarkhansky</t>
  </si>
  <si>
    <t>Tishchenko Hill</t>
  </si>
  <si>
    <t>Big Tarkhan, main vent (1) – travertine</t>
  </si>
  <si>
    <t>Big Tarkhan, main issue (1) – travertine.</t>
  </si>
  <si>
    <t>Big Tarkhan, main issue (1) – travertine</t>
  </si>
  <si>
    <t>Big Tarkhan, second vent</t>
  </si>
  <si>
    <t>Big Tarkhan, third vent</t>
  </si>
  <si>
    <t xml:space="preserve">Big Tarkhan, fourth vent near valley slope </t>
  </si>
  <si>
    <t>Big Tarkhan, salsa on saline land</t>
  </si>
  <si>
    <t>Soldatsko-Slobodsky</t>
  </si>
  <si>
    <t>Chongelensky (Tobechik) mud volcano</t>
  </si>
  <si>
    <t>Chongelensky (Tobechik), oil-seeping spring</t>
  </si>
  <si>
    <t>Burash</t>
  </si>
  <si>
    <t xml:space="preserve">Syuyurtashsky, hydrosulfuric spring </t>
  </si>
  <si>
    <t>Borukh-Oba (old bubbling hole)</t>
  </si>
  <si>
    <t>Borukh-Oba</t>
  </si>
  <si>
    <t>Syuyurtashsky</t>
  </si>
  <si>
    <t>Seit-Eli spring</t>
  </si>
  <si>
    <t>Korolevsky (lake near the base of Korolevsky Hill)</t>
  </si>
  <si>
    <t>Nasyr</t>
  </si>
  <si>
    <t>Arma Eli (satellite salsa)</t>
  </si>
  <si>
    <t>Vladislavovsky</t>
  </si>
  <si>
    <t>Cape of Kazantip, oil-seeping hole</t>
  </si>
  <si>
    <t>Liman, nearby Chushka Volcano</t>
  </si>
  <si>
    <t>Lake on Miska mud volcano</t>
  </si>
  <si>
    <t xml:space="preserve">Hydrosulfuric spring </t>
  </si>
  <si>
    <t>A well near the v. Novoselovka</t>
  </si>
  <si>
    <t>river, Nearby Shapsugsky Volcano</t>
  </si>
  <si>
    <t>v. Voykovo,borehole, depth 400m</t>
  </si>
  <si>
    <t>Sampling date</t>
  </si>
  <si>
    <t>Total salt, g/L</t>
  </si>
  <si>
    <t>No. in Fig. 1</t>
  </si>
  <si>
    <t>Sample no.</t>
  </si>
  <si>
    <t xml:space="preserve">Mud volcanoes of the Taman peninsula </t>
  </si>
  <si>
    <t>Mud volcanoes of the Kerch Peninsula</t>
  </si>
  <si>
    <t>Surface waters of the Taman Peninsula</t>
  </si>
  <si>
    <t>Surface waters and springs of the Kerch Peninsula</t>
  </si>
  <si>
    <t>Latitude</t>
  </si>
  <si>
    <t>Longitude</t>
  </si>
  <si>
    <t>С, ng/l</t>
  </si>
  <si>
    <t>С, mkg/l</t>
  </si>
  <si>
    <t xml:space="preserve"> mkg/l</t>
  </si>
  <si>
    <t>Sampling sites (mud volcanoes)</t>
  </si>
  <si>
    <t>mg-eq %</t>
  </si>
  <si>
    <t>g/L</t>
  </si>
  <si>
    <t xml:space="preserve">m. </t>
  </si>
  <si>
    <t>Isotope characteristics of gases</t>
  </si>
  <si>
    <t xml:space="preserve">Chemical types of waters </t>
  </si>
  <si>
    <t xml:space="preserve">Isotope characteristics of waters </t>
  </si>
  <si>
    <t>Chemical composition of waters</t>
  </si>
  <si>
    <t>Table 1p. Results of geochemical studies of water and gases of mud volcanoes of the Kerch–Taman area</t>
  </si>
  <si>
    <t>р.Казачий Ерик</t>
  </si>
  <si>
    <t>r.Kazachiy Yerik</t>
  </si>
  <si>
    <t>Lake on Western Tsymbaly mud volcano</t>
  </si>
  <si>
    <t>Temryuk, water from waterline</t>
  </si>
  <si>
    <t>Fresh spring, Novootradnoe village</t>
  </si>
  <si>
    <t>Zolotoe village, private hole</t>
  </si>
  <si>
    <t xml:space="preserve">Rain in the Shapsugsky Volcano area </t>
  </si>
  <si>
    <t>Lake Koyashskoe (saline)</t>
  </si>
  <si>
    <t>Lake Chokrak (saline).</t>
  </si>
  <si>
    <t>Lake Tobechik (saline)</t>
  </si>
  <si>
    <t>Sea of Azov</t>
  </si>
  <si>
    <t>w/n</t>
  </si>
  <si>
    <t xml:space="preserve">Oil-seeping spring, Glazovka village </t>
  </si>
  <si>
    <t>Eny-Kale (crater field)</t>
  </si>
  <si>
    <t>Well nearby Eny-Kale mud volcano</t>
  </si>
  <si>
    <t>n.d.</t>
  </si>
  <si>
    <r>
      <t>НСО</t>
    </r>
    <r>
      <rPr>
        <b/>
        <vertAlign val="subscript"/>
        <sz val="11"/>
        <rFont val="Times New Roman"/>
        <family val="1"/>
        <charset val="204"/>
      </rPr>
      <t>3</t>
    </r>
    <r>
      <rPr>
        <b/>
        <vertAlign val="superscript"/>
        <sz val="11"/>
        <rFont val="Times New Roman"/>
        <family val="1"/>
        <charset val="204"/>
      </rPr>
      <t>-</t>
    </r>
  </si>
  <si>
    <r>
      <t>CH</t>
    </r>
    <r>
      <rPr>
        <b/>
        <vertAlign val="subscript"/>
        <sz val="11"/>
        <rFont val="Times New Roman"/>
        <family val="1"/>
        <charset val="204"/>
      </rPr>
      <t>4</t>
    </r>
  </si>
  <si>
    <r>
      <t>CO</t>
    </r>
    <r>
      <rPr>
        <b/>
        <vertAlign val="subscript"/>
        <sz val="11"/>
        <rFont val="Times New Roman"/>
        <family val="1"/>
        <charset val="204"/>
      </rPr>
      <t>2</t>
    </r>
  </si>
  <si>
    <r>
      <t>H</t>
    </r>
    <r>
      <rPr>
        <b/>
        <vertAlign val="subscript"/>
        <sz val="11"/>
        <rFont val="Times New Roman"/>
        <family val="1"/>
        <charset val="204"/>
      </rPr>
      <t>2</t>
    </r>
  </si>
  <si>
    <r>
      <t>O</t>
    </r>
    <r>
      <rPr>
        <b/>
        <vertAlign val="subscript"/>
        <sz val="11"/>
        <rFont val="Times New Roman"/>
        <family val="1"/>
        <charset val="204"/>
      </rPr>
      <t>2</t>
    </r>
  </si>
  <si>
    <r>
      <t>O</t>
    </r>
    <r>
      <rPr>
        <b/>
        <vertAlign val="sub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>+Ar</t>
    </r>
  </si>
  <si>
    <r>
      <t>N</t>
    </r>
    <r>
      <rPr>
        <b/>
        <vertAlign val="subscript"/>
        <sz val="11"/>
        <rFont val="Times New Roman"/>
        <family val="1"/>
        <charset val="204"/>
      </rPr>
      <t>2</t>
    </r>
  </si>
  <si>
    <r>
      <t>δ</t>
    </r>
    <r>
      <rPr>
        <b/>
        <vertAlign val="superscript"/>
        <sz val="11"/>
        <rFont val="Times New Roman"/>
        <family val="1"/>
        <charset val="204"/>
      </rPr>
      <t>15</t>
    </r>
    <r>
      <rPr>
        <b/>
        <sz val="11"/>
        <rFont val="Times New Roman"/>
        <family val="1"/>
        <charset val="204"/>
      </rPr>
      <t>N   (N</t>
    </r>
    <r>
      <rPr>
        <b/>
        <vertAlign val="sub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>)</t>
    </r>
  </si>
  <si>
    <r>
      <t>δ</t>
    </r>
    <r>
      <rPr>
        <b/>
        <vertAlign val="superscript"/>
        <sz val="11"/>
        <rFont val="Times New Roman"/>
        <family val="1"/>
        <charset val="204"/>
      </rPr>
      <t>13</t>
    </r>
    <r>
      <rPr>
        <b/>
        <sz val="11"/>
        <rFont val="Times New Roman"/>
        <family val="1"/>
        <charset val="204"/>
      </rPr>
      <t>C (СН</t>
    </r>
    <r>
      <rPr>
        <b/>
        <vertAlign val="subscript"/>
        <sz val="11"/>
        <rFont val="Times New Roman"/>
        <family val="1"/>
        <charset val="204"/>
      </rPr>
      <t>4</t>
    </r>
    <r>
      <rPr>
        <b/>
        <sz val="11"/>
        <rFont val="Times New Roman"/>
        <family val="1"/>
        <charset val="204"/>
      </rPr>
      <t>)</t>
    </r>
  </si>
  <si>
    <r>
      <t>δ</t>
    </r>
    <r>
      <rPr>
        <b/>
        <vertAlign val="superscript"/>
        <sz val="11"/>
        <rFont val="Times New Roman"/>
        <family val="1"/>
        <charset val="204"/>
      </rPr>
      <t>13</t>
    </r>
    <r>
      <rPr>
        <b/>
        <sz val="11"/>
        <rFont val="Times New Roman"/>
        <family val="1"/>
        <charset val="204"/>
      </rPr>
      <t>C (СО</t>
    </r>
    <r>
      <rPr>
        <b/>
        <vertAlign val="sub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>)</t>
    </r>
  </si>
  <si>
    <r>
      <t>δ</t>
    </r>
    <r>
      <rPr>
        <b/>
        <vertAlign val="superscript"/>
        <sz val="11"/>
        <rFont val="Times New Roman"/>
        <family val="1"/>
        <charset val="204"/>
      </rPr>
      <t>13</t>
    </r>
    <r>
      <rPr>
        <b/>
        <sz val="11"/>
        <rFont val="Times New Roman"/>
        <family val="1"/>
        <charset val="204"/>
      </rPr>
      <t>C (C</t>
    </r>
    <r>
      <rPr>
        <b/>
        <vertAlign val="sub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>H</t>
    </r>
    <r>
      <rPr>
        <b/>
        <vertAlign val="subscript"/>
        <sz val="11"/>
        <rFont val="Times New Roman"/>
        <family val="1"/>
        <charset val="204"/>
      </rPr>
      <t>6</t>
    </r>
    <r>
      <rPr>
        <b/>
        <sz val="11"/>
        <rFont val="Times New Roman"/>
        <family val="1"/>
        <charset val="204"/>
      </rPr>
      <t>)</t>
    </r>
  </si>
  <si>
    <r>
      <t>δD (CH</t>
    </r>
    <r>
      <rPr>
        <b/>
        <vertAlign val="subscript"/>
        <sz val="11"/>
        <rFont val="Times New Roman"/>
        <family val="1"/>
        <charset val="204"/>
      </rPr>
      <t>4</t>
    </r>
    <r>
      <rPr>
        <b/>
        <sz val="11"/>
        <rFont val="Times New Roman"/>
        <family val="1"/>
        <charset val="204"/>
      </rPr>
      <t>)</t>
    </r>
  </si>
  <si>
    <r>
      <t>Kuchugursky, H</t>
    </r>
    <r>
      <rPr>
        <vertAlign val="sub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S </t>
    </r>
  </si>
  <si>
    <r>
      <t>Kuchugursky, H</t>
    </r>
    <r>
      <rPr>
        <vertAlign val="sub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S gryphon near the Azov coast</t>
    </r>
  </si>
  <si>
    <t>Total</t>
  </si>
  <si>
    <t>Sampling sites (mud volcanoes)/точки опробования</t>
  </si>
  <si>
    <t xml:space="preserve">Abs. height </t>
  </si>
  <si>
    <t>‰ (PDB)</t>
  </si>
  <si>
    <t>‰ (SMOW)</t>
  </si>
  <si>
    <t>Chemical composition of the gas phase</t>
  </si>
  <si>
    <t>t meas.</t>
  </si>
  <si>
    <t>t(Mg-Li) calc.</t>
  </si>
  <si>
    <t xml:space="preserve"> Eh*</t>
  </si>
  <si>
    <r>
      <t>SO</t>
    </r>
    <r>
      <rPr>
        <b/>
        <vertAlign val="subscript"/>
        <sz val="11"/>
        <rFont val="Times New Roman"/>
        <family val="1"/>
        <charset val="204"/>
      </rPr>
      <t xml:space="preserve">4 </t>
    </r>
    <r>
      <rPr>
        <b/>
        <sz val="11"/>
        <rFont val="Times New Roman"/>
        <family val="1"/>
        <charset val="204"/>
      </rPr>
      <t>calc.</t>
    </r>
  </si>
  <si>
    <t xml:space="preserve">* - The Eh values are corrected for the "hydrogen electrode" (+180 mV).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</si>
</sst>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000"/>
    <numFmt numFmtId="165" formatCode="#,##0_₽"/>
    <numFmt numFmtId="166" formatCode="0.0"/>
    <numFmt numFmtId="167" formatCode="#,##0.000;\-#,##0.000"/>
    <numFmt numFmtId="168" formatCode="0.000"/>
    <numFmt numFmtId="169" formatCode="0.0000"/>
    <numFmt numFmtId="170" formatCode="0.00000"/>
    <numFmt numFmtId="171" formatCode="0.0000000"/>
    <numFmt numFmtId="172" formatCode="#,##0.00;\-#,##0.00"/>
    <numFmt numFmtId="173" formatCode="#,##0.0000;\-#,##0.000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bscript"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A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57">
    <xf numFmtId="0" fontId="0" fillId="0" borderId="0" xfId="0"/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1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right"/>
    </xf>
    <xf numFmtId="2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16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left"/>
    </xf>
    <xf numFmtId="2" fontId="1" fillId="0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49" fontId="2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2" fontId="2" fillId="0" borderId="5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164" fontId="1" fillId="0" borderId="1" xfId="0" applyNumberFormat="1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39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/>
    </xf>
    <xf numFmtId="170" fontId="1" fillId="0" borderId="1" xfId="0" applyNumberFormat="1" applyFont="1" applyFill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2" fillId="0" borderId="6" xfId="0" applyFont="1" applyFill="1" applyBorder="1" applyAlignment="1">
      <alignment wrapText="1"/>
    </xf>
    <xf numFmtId="49" fontId="1" fillId="0" borderId="6" xfId="0" applyNumberFormat="1" applyFont="1" applyFill="1" applyBorder="1"/>
    <xf numFmtId="0" fontId="1" fillId="0" borderId="6" xfId="0" applyFont="1" applyFill="1" applyBorder="1" applyAlignment="1">
      <alignment horizontal="left"/>
    </xf>
    <xf numFmtId="49" fontId="2" fillId="0" borderId="6" xfId="0" applyNumberFormat="1" applyFont="1" applyFill="1" applyBorder="1"/>
    <xf numFmtId="0" fontId="1" fillId="0" borderId="6" xfId="0" applyFont="1" applyFill="1" applyBorder="1" applyAlignment="1" applyProtection="1">
      <alignment horizontal="left"/>
      <protection locked="0"/>
    </xf>
    <xf numFmtId="0" fontId="2" fillId="0" borderId="6" xfId="0" applyFont="1" applyFill="1" applyBorder="1"/>
    <xf numFmtId="164" fontId="1" fillId="0" borderId="7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 wrapText="1"/>
    </xf>
    <xf numFmtId="164" fontId="1" fillId="0" borderId="7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left" wrapText="1"/>
    </xf>
    <xf numFmtId="164" fontId="1" fillId="2" borderId="7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/>
    <xf numFmtId="166" fontId="1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49" fontId="1" fillId="2" borderId="1" xfId="0" applyNumberFormat="1" applyFont="1" applyFill="1" applyBorder="1" applyAlignment="1">
      <alignment horizontal="right"/>
    </xf>
    <xf numFmtId="0" fontId="1" fillId="2" borderId="6" xfId="0" applyFont="1" applyFill="1" applyBorder="1"/>
    <xf numFmtId="2" fontId="1" fillId="2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4" fontId="1" fillId="0" borderId="7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9" fontId="1" fillId="2" borderId="6" xfId="0" applyNumberFormat="1" applyFont="1" applyFill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6" fontId="7" fillId="0" borderId="1" xfId="0" applyNumberFormat="1" applyFont="1" applyFill="1" applyBorder="1" applyAlignment="1">
      <alignment horizontal="center" vertical="top" wrapText="1"/>
    </xf>
    <xf numFmtId="166" fontId="1" fillId="0" borderId="1" xfId="1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166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68" fontId="1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6" fontId="1" fillId="0" borderId="1" xfId="0" quotePrefix="1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right" vertical="center"/>
    </xf>
    <xf numFmtId="0" fontId="1" fillId="0" borderId="1" xfId="0" quotePrefix="1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0" fontId="12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 wrapText="1"/>
    </xf>
    <xf numFmtId="166" fontId="2" fillId="0" borderId="3" xfId="0" applyNumberFormat="1" applyFont="1" applyFill="1" applyBorder="1" applyAlignment="1">
      <alignment horizontal="center" wrapText="1"/>
    </xf>
    <xf numFmtId="166" fontId="2" fillId="0" borderId="4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81</xdr:col>
      <xdr:colOff>133350</xdr:colOff>
      <xdr:row>93</xdr:row>
      <xdr:rowOff>47625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3936325" y="1898808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82</xdr:col>
      <xdr:colOff>123824</xdr:colOff>
      <xdr:row>93</xdr:row>
      <xdr:rowOff>9526</xdr:rowOff>
    </xdr:from>
    <xdr:ext cx="409576" cy="19050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4945974" y="18949989"/>
          <a:ext cx="409576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just"/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87"/>
  <sheetViews>
    <sheetView tabSelected="1" workbookViewId="0">
      <pane xSplit="3" ySplit="4" topLeftCell="D170" activePane="bottomRight" state="frozen"/>
      <selection pane="topRight" activeCell="D1" sqref="D1"/>
      <selection pane="bottomLeft" activeCell="A4" sqref="A4"/>
      <selection pane="bottomRight" activeCell="CK184" sqref="CK184"/>
    </sheetView>
  </sheetViews>
  <sheetFormatPr defaultColWidth="9.1328125" defaultRowHeight="13.9" x14ac:dyDescent="0.4"/>
  <cols>
    <col min="1" max="1" width="6.53125" style="7" customWidth="1"/>
    <col min="2" max="2" width="9.1328125" style="13" customWidth="1"/>
    <col min="3" max="3" width="33.9296875" style="7" customWidth="1"/>
    <col min="4" max="4" width="41" style="150" customWidth="1"/>
    <col min="5" max="5" width="11.6640625" style="1" customWidth="1"/>
    <col min="6" max="6" width="10.6640625" style="1" customWidth="1"/>
    <col min="7" max="7" width="9.86328125" style="17" bestFit="1" customWidth="1"/>
    <col min="8" max="8" width="12.86328125" style="16" customWidth="1"/>
    <col min="9" max="9" width="9.19921875" style="17" bestFit="1" customWidth="1"/>
    <col min="10" max="10" width="10.53125" style="17" customWidth="1"/>
    <col min="11" max="11" width="9.19921875" style="17" bestFit="1" customWidth="1"/>
    <col min="12" max="12" width="9.19921875" style="17" customWidth="1"/>
    <col min="13" max="14" width="9.19921875" style="17" bestFit="1" customWidth="1"/>
    <col min="15" max="15" width="9.19921875" style="18" bestFit="1" customWidth="1"/>
    <col min="16" max="16" width="9.19921875" style="3" bestFit="1" customWidth="1"/>
    <col min="17" max="17" width="9.19921875" style="17" bestFit="1" customWidth="1"/>
    <col min="18" max="18" width="11.1328125" style="17" customWidth="1"/>
    <col min="19" max="19" width="9.19921875" style="17" bestFit="1" customWidth="1"/>
    <col min="20" max="20" width="11.1328125" style="17" customWidth="1"/>
    <col min="21" max="25" width="9.19921875" style="17" bestFit="1" customWidth="1"/>
    <col min="26" max="26" width="9.86328125" style="17" bestFit="1" customWidth="1"/>
    <col min="27" max="41" width="9.19921875" style="17" bestFit="1" customWidth="1"/>
    <col min="42" max="42" width="9.33203125" style="17" bestFit="1" customWidth="1"/>
    <col min="43" max="48" width="9.19921875" style="17" bestFit="1" customWidth="1"/>
    <col min="49" max="49" width="9.86328125" style="17" bestFit="1" customWidth="1"/>
    <col min="50" max="73" width="9.19921875" style="17" bestFit="1" customWidth="1"/>
    <col min="74" max="74" width="9.1328125" style="17"/>
    <col min="75" max="80" width="9.19921875" style="17" bestFit="1" customWidth="1"/>
    <col min="81" max="81" width="9.1328125" style="17"/>
    <col min="82" max="82" width="14.19921875" style="17" customWidth="1"/>
    <col min="83" max="83" width="10.86328125" style="4" customWidth="1"/>
    <col min="84" max="84" width="14.1328125" style="3" bestFit="1" customWidth="1"/>
    <col min="85" max="85" width="9.1328125" style="17"/>
    <col min="86" max="87" width="9.19921875" style="17" bestFit="1" customWidth="1"/>
    <col min="88" max="89" width="9.33203125" style="17" bestFit="1" customWidth="1"/>
    <col min="90" max="92" width="9.19921875" style="17" bestFit="1" customWidth="1"/>
    <col min="93" max="93" width="9.796875" style="17" bestFit="1" customWidth="1"/>
    <col min="94" max="94" width="9.19921875" style="17" bestFit="1" customWidth="1"/>
    <col min="95" max="95" width="9.1328125" style="17"/>
    <col min="96" max="100" width="9.19921875" style="4" bestFit="1" customWidth="1"/>
    <col min="101" max="16384" width="9.1328125" style="7"/>
  </cols>
  <sheetData>
    <row r="1" spans="1:100" x14ac:dyDescent="0.4">
      <c r="C1" s="2" t="s">
        <v>500</v>
      </c>
      <c r="D1" s="149"/>
    </row>
    <row r="2" spans="1:100" ht="18" customHeight="1" x14ac:dyDescent="0.4">
      <c r="A2" s="26"/>
      <c r="B2" s="40"/>
      <c r="C2" s="69"/>
      <c r="D2" s="26"/>
      <c r="E2" s="76"/>
      <c r="F2" s="42"/>
      <c r="G2" s="46"/>
      <c r="H2" s="41"/>
      <c r="I2" s="8"/>
      <c r="J2" s="8"/>
      <c r="K2" s="8"/>
      <c r="L2" s="34" t="s">
        <v>499</v>
      </c>
      <c r="M2" s="35"/>
      <c r="N2" s="35"/>
      <c r="O2" s="36"/>
      <c r="P2" s="37"/>
      <c r="Q2" s="35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7" t="s">
        <v>497</v>
      </c>
      <c r="BX2" s="35"/>
      <c r="BY2" s="35"/>
      <c r="BZ2" s="35"/>
      <c r="CA2" s="35"/>
      <c r="CB2" s="35"/>
      <c r="CC2" s="35"/>
      <c r="CD2" s="154" t="s">
        <v>498</v>
      </c>
      <c r="CE2" s="155"/>
      <c r="CF2" s="156"/>
      <c r="CH2" s="152" t="s">
        <v>536</v>
      </c>
      <c r="CI2" s="153"/>
      <c r="CJ2" s="153"/>
      <c r="CK2" s="153"/>
      <c r="CL2" s="153"/>
      <c r="CM2" s="153"/>
      <c r="CN2" s="153"/>
      <c r="CO2" s="153"/>
      <c r="CP2" s="153"/>
      <c r="CQ2" s="11"/>
      <c r="CR2" s="103" t="s">
        <v>496</v>
      </c>
      <c r="CS2" s="104"/>
      <c r="CT2" s="104"/>
      <c r="CU2" s="104"/>
      <c r="CV2" s="104"/>
    </row>
    <row r="3" spans="1:100" s="58" customFormat="1" ht="31.9" x14ac:dyDescent="0.55000000000000004">
      <c r="A3" s="53" t="s">
        <v>481</v>
      </c>
      <c r="B3" s="54" t="s">
        <v>482</v>
      </c>
      <c r="C3" s="70" t="s">
        <v>532</v>
      </c>
      <c r="D3" s="70" t="s">
        <v>492</v>
      </c>
      <c r="E3" s="77" t="s">
        <v>487</v>
      </c>
      <c r="F3" s="55" t="s">
        <v>488</v>
      </c>
      <c r="G3" s="56" t="s">
        <v>533</v>
      </c>
      <c r="H3" s="94" t="s">
        <v>479</v>
      </c>
      <c r="I3" s="52" t="s">
        <v>480</v>
      </c>
      <c r="J3" s="52" t="s">
        <v>537</v>
      </c>
      <c r="K3" s="52" t="s">
        <v>538</v>
      </c>
      <c r="L3" s="52" t="s">
        <v>539</v>
      </c>
      <c r="M3" s="19" t="s">
        <v>0</v>
      </c>
      <c r="N3" s="19" t="s">
        <v>1</v>
      </c>
      <c r="O3" s="20" t="s">
        <v>384</v>
      </c>
      <c r="P3" s="39" t="s">
        <v>2</v>
      </c>
      <c r="Q3" s="19" t="s">
        <v>540</v>
      </c>
      <c r="R3" s="52" t="s">
        <v>10</v>
      </c>
      <c r="S3" s="52" t="s">
        <v>11</v>
      </c>
      <c r="T3" s="52" t="s">
        <v>5</v>
      </c>
      <c r="U3" s="52" t="s">
        <v>7</v>
      </c>
      <c r="V3" s="39" t="s">
        <v>12</v>
      </c>
      <c r="W3" s="39" t="s">
        <v>13</v>
      </c>
      <c r="X3" s="52" t="s">
        <v>14</v>
      </c>
      <c r="Y3" s="52" t="s">
        <v>15</v>
      </c>
      <c r="Z3" s="52" t="s">
        <v>16</v>
      </c>
      <c r="AA3" s="52" t="s">
        <v>6</v>
      </c>
      <c r="AB3" s="52" t="s">
        <v>17</v>
      </c>
      <c r="AC3" s="52" t="s">
        <v>18</v>
      </c>
      <c r="AD3" s="52" t="s">
        <v>19</v>
      </c>
      <c r="AE3" s="52" t="s">
        <v>20</v>
      </c>
      <c r="AF3" s="52" t="s">
        <v>21</v>
      </c>
      <c r="AG3" s="52" t="s">
        <v>22</v>
      </c>
      <c r="AH3" s="52" t="s">
        <v>23</v>
      </c>
      <c r="AI3" s="52" t="s">
        <v>24</v>
      </c>
      <c r="AJ3" s="52" t="s">
        <v>25</v>
      </c>
      <c r="AK3" s="52" t="s">
        <v>26</v>
      </c>
      <c r="AL3" s="52" t="s">
        <v>27</v>
      </c>
      <c r="AM3" s="52" t="s">
        <v>28</v>
      </c>
      <c r="AN3" s="52" t="s">
        <v>29</v>
      </c>
      <c r="AO3" s="52" t="s">
        <v>30</v>
      </c>
      <c r="AP3" s="52" t="s">
        <v>31</v>
      </c>
      <c r="AQ3" s="52" t="s">
        <v>32</v>
      </c>
      <c r="AR3" s="52" t="s">
        <v>33</v>
      </c>
      <c r="AS3" s="52" t="s">
        <v>34</v>
      </c>
      <c r="AT3" s="52" t="s">
        <v>35</v>
      </c>
      <c r="AU3" s="52" t="s">
        <v>36</v>
      </c>
      <c r="AV3" s="52" t="s">
        <v>37</v>
      </c>
      <c r="AW3" s="52" t="s">
        <v>38</v>
      </c>
      <c r="AX3" s="52" t="s">
        <v>39</v>
      </c>
      <c r="AY3" s="52" t="s">
        <v>40</v>
      </c>
      <c r="AZ3" s="52" t="s">
        <v>41</v>
      </c>
      <c r="BA3" s="52" t="s">
        <v>42</v>
      </c>
      <c r="BB3" s="52" t="s">
        <v>43</v>
      </c>
      <c r="BC3" s="52" t="s">
        <v>44</v>
      </c>
      <c r="BD3" s="52" t="s">
        <v>45</v>
      </c>
      <c r="BE3" s="52" t="s">
        <v>46</v>
      </c>
      <c r="BF3" s="52" t="s">
        <v>47</v>
      </c>
      <c r="BG3" s="52" t="s">
        <v>48</v>
      </c>
      <c r="BH3" s="52" t="s">
        <v>49</v>
      </c>
      <c r="BI3" s="52" t="s">
        <v>50</v>
      </c>
      <c r="BJ3" s="52" t="s">
        <v>51</v>
      </c>
      <c r="BK3" s="52" t="s">
        <v>52</v>
      </c>
      <c r="BL3" s="52" t="s">
        <v>53</v>
      </c>
      <c r="BM3" s="52" t="s">
        <v>54</v>
      </c>
      <c r="BN3" s="52" t="s">
        <v>55</v>
      </c>
      <c r="BO3" s="52" t="s">
        <v>56</v>
      </c>
      <c r="BP3" s="52" t="s">
        <v>57</v>
      </c>
      <c r="BQ3" s="52" t="s">
        <v>58</v>
      </c>
      <c r="BR3" s="52" t="s">
        <v>59</v>
      </c>
      <c r="BS3" s="52" t="s">
        <v>60</v>
      </c>
      <c r="BT3" s="52" t="s">
        <v>61</v>
      </c>
      <c r="BU3" s="52" t="s">
        <v>62</v>
      </c>
      <c r="BV3" s="52"/>
      <c r="BW3" s="57" t="s">
        <v>517</v>
      </c>
      <c r="BX3" s="57" t="s">
        <v>4</v>
      </c>
      <c r="BY3" s="57" t="s">
        <v>3</v>
      </c>
      <c r="BZ3" s="57" t="s">
        <v>5</v>
      </c>
      <c r="CA3" s="57" t="s">
        <v>6</v>
      </c>
      <c r="CB3" s="57" t="s">
        <v>7</v>
      </c>
      <c r="CC3" s="57"/>
      <c r="CD3" s="52" t="s">
        <v>386</v>
      </c>
      <c r="CE3" s="57" t="s">
        <v>387</v>
      </c>
      <c r="CF3" s="39" t="s">
        <v>388</v>
      </c>
      <c r="CG3" s="52"/>
      <c r="CH3" s="52" t="s">
        <v>518</v>
      </c>
      <c r="CI3" s="52" t="s">
        <v>519</v>
      </c>
      <c r="CJ3" s="52" t="s">
        <v>8</v>
      </c>
      <c r="CK3" s="52" t="s">
        <v>520</v>
      </c>
      <c r="CL3" s="52" t="s">
        <v>521</v>
      </c>
      <c r="CM3" s="52" t="s">
        <v>9</v>
      </c>
      <c r="CN3" s="52" t="s">
        <v>522</v>
      </c>
      <c r="CO3" s="52" t="s">
        <v>523</v>
      </c>
      <c r="CP3" s="52" t="s">
        <v>531</v>
      </c>
      <c r="CQ3" s="52"/>
      <c r="CR3" s="57" t="s">
        <v>524</v>
      </c>
      <c r="CS3" s="57" t="s">
        <v>525</v>
      </c>
      <c r="CT3" s="57" t="s">
        <v>526</v>
      </c>
      <c r="CU3" s="57" t="s">
        <v>527</v>
      </c>
      <c r="CV3" s="57" t="s">
        <v>528</v>
      </c>
    </row>
    <row r="4" spans="1:100" s="99" customFormat="1" ht="15.4" x14ac:dyDescent="0.4">
      <c r="A4" s="21"/>
      <c r="B4" s="95"/>
      <c r="C4" s="96"/>
      <c r="D4" s="21"/>
      <c r="E4" s="97"/>
      <c r="F4" s="98"/>
      <c r="G4" s="38" t="s">
        <v>495</v>
      </c>
      <c r="H4" s="59" t="s">
        <v>270</v>
      </c>
      <c r="I4" s="21" t="s">
        <v>494</v>
      </c>
      <c r="J4" s="21" t="s">
        <v>381</v>
      </c>
      <c r="K4" s="21" t="s">
        <v>381</v>
      </c>
      <c r="L4" s="21" t="s">
        <v>63</v>
      </c>
      <c r="M4" s="19" t="s">
        <v>270</v>
      </c>
      <c r="N4" s="105" t="s">
        <v>491</v>
      </c>
      <c r="O4" s="105" t="s">
        <v>491</v>
      </c>
      <c r="P4" s="105" t="s">
        <v>491</v>
      </c>
      <c r="Q4" s="105" t="s">
        <v>491</v>
      </c>
      <c r="R4" s="8" t="s">
        <v>489</v>
      </c>
      <c r="S4" s="105" t="s">
        <v>490</v>
      </c>
      <c r="T4" s="105" t="s">
        <v>490</v>
      </c>
      <c r="U4" s="105" t="s">
        <v>490</v>
      </c>
      <c r="V4" s="105" t="s">
        <v>490</v>
      </c>
      <c r="W4" s="105" t="s">
        <v>490</v>
      </c>
      <c r="X4" s="105" t="s">
        <v>490</v>
      </c>
      <c r="Y4" s="105" t="s">
        <v>490</v>
      </c>
      <c r="Z4" s="105" t="s">
        <v>490</v>
      </c>
      <c r="AA4" s="105" t="s">
        <v>490</v>
      </c>
      <c r="AB4" s="105" t="s">
        <v>490</v>
      </c>
      <c r="AC4" s="105" t="s">
        <v>490</v>
      </c>
      <c r="AD4" s="105" t="s">
        <v>490</v>
      </c>
      <c r="AE4" s="105" t="s">
        <v>490</v>
      </c>
      <c r="AF4" s="105" t="s">
        <v>490</v>
      </c>
      <c r="AG4" s="105" t="s">
        <v>490</v>
      </c>
      <c r="AH4" s="105" t="s">
        <v>490</v>
      </c>
      <c r="AI4" s="105" t="s">
        <v>490</v>
      </c>
      <c r="AJ4" s="105" t="s">
        <v>490</v>
      </c>
      <c r="AK4" s="105" t="s">
        <v>490</v>
      </c>
      <c r="AL4" s="105" t="s">
        <v>490</v>
      </c>
      <c r="AM4" s="105" t="s">
        <v>490</v>
      </c>
      <c r="AN4" s="105" t="s">
        <v>490</v>
      </c>
      <c r="AO4" s="105" t="s">
        <v>489</v>
      </c>
      <c r="AP4" s="105" t="s">
        <v>489</v>
      </c>
      <c r="AQ4" s="105" t="s">
        <v>489</v>
      </c>
      <c r="AR4" s="105" t="s">
        <v>489</v>
      </c>
      <c r="AS4" s="105" t="s">
        <v>489</v>
      </c>
      <c r="AT4" s="105" t="s">
        <v>489</v>
      </c>
      <c r="AU4" s="105" t="s">
        <v>489</v>
      </c>
      <c r="AV4" s="105" t="s">
        <v>489</v>
      </c>
      <c r="AW4" s="105" t="s">
        <v>489</v>
      </c>
      <c r="AX4" s="105" t="s">
        <v>489</v>
      </c>
      <c r="AY4" s="105" t="s">
        <v>489</v>
      </c>
      <c r="AZ4" s="105" t="s">
        <v>489</v>
      </c>
      <c r="BA4" s="105" t="s">
        <v>489</v>
      </c>
      <c r="BB4" s="105" t="s">
        <v>489</v>
      </c>
      <c r="BC4" s="105" t="s">
        <v>489</v>
      </c>
      <c r="BD4" s="105" t="s">
        <v>489</v>
      </c>
      <c r="BE4" s="105" t="s">
        <v>489</v>
      </c>
      <c r="BF4" s="105" t="s">
        <v>489</v>
      </c>
      <c r="BG4" s="105" t="s">
        <v>489</v>
      </c>
      <c r="BH4" s="105" t="s">
        <v>489</v>
      </c>
      <c r="BI4" s="105" t="s">
        <v>489</v>
      </c>
      <c r="BJ4" s="105" t="s">
        <v>489</v>
      </c>
      <c r="BK4" s="105" t="s">
        <v>489</v>
      </c>
      <c r="BL4" s="105" t="s">
        <v>489</v>
      </c>
      <c r="BM4" s="105" t="s">
        <v>489</v>
      </c>
      <c r="BN4" s="105" t="s">
        <v>489</v>
      </c>
      <c r="BO4" s="105" t="s">
        <v>489</v>
      </c>
      <c r="BP4" s="105" t="s">
        <v>489</v>
      </c>
      <c r="BQ4" s="105" t="s">
        <v>489</v>
      </c>
      <c r="BR4" s="105" t="s">
        <v>490</v>
      </c>
      <c r="BS4" s="105" t="s">
        <v>489</v>
      </c>
      <c r="BT4" s="105" t="s">
        <v>489</v>
      </c>
      <c r="BU4" s="105" t="s">
        <v>489</v>
      </c>
      <c r="BV4" s="8"/>
      <c r="BW4" s="10" t="s">
        <v>493</v>
      </c>
      <c r="BX4" s="10" t="s">
        <v>493</v>
      </c>
      <c r="BY4" s="10" t="s">
        <v>493</v>
      </c>
      <c r="BZ4" s="10" t="s">
        <v>493</v>
      </c>
      <c r="CA4" s="10" t="s">
        <v>493</v>
      </c>
      <c r="CB4" s="10" t="s">
        <v>493</v>
      </c>
      <c r="CC4" s="10"/>
      <c r="CD4" s="106" t="s">
        <v>534</v>
      </c>
      <c r="CE4" s="106" t="s">
        <v>535</v>
      </c>
      <c r="CF4" s="106" t="s">
        <v>535</v>
      </c>
      <c r="CG4" s="8"/>
      <c r="CH4" s="52" t="s">
        <v>379</v>
      </c>
      <c r="CI4" s="52" t="s">
        <v>379</v>
      </c>
      <c r="CJ4" s="52" t="s">
        <v>379</v>
      </c>
      <c r="CK4" s="52" t="s">
        <v>379</v>
      </c>
      <c r="CL4" s="52" t="s">
        <v>379</v>
      </c>
      <c r="CM4" s="52" t="s">
        <v>379</v>
      </c>
      <c r="CN4" s="52" t="s">
        <v>379</v>
      </c>
      <c r="CO4" s="52" t="s">
        <v>379</v>
      </c>
      <c r="CP4" s="52" t="s">
        <v>379</v>
      </c>
      <c r="CQ4" s="52"/>
      <c r="CR4" s="106" t="s">
        <v>380</v>
      </c>
      <c r="CS4" s="106" t="s">
        <v>380</v>
      </c>
      <c r="CT4" s="106" t="s">
        <v>380</v>
      </c>
      <c r="CU4" s="106" t="s">
        <v>380</v>
      </c>
      <c r="CV4" s="106" t="s">
        <v>380</v>
      </c>
    </row>
    <row r="5" spans="1:100" x14ac:dyDescent="0.4">
      <c r="B5" s="14"/>
      <c r="C5" s="2" t="s">
        <v>483</v>
      </c>
      <c r="D5" s="47"/>
      <c r="G5" s="15"/>
      <c r="K5" s="11"/>
      <c r="M5" s="48"/>
      <c r="N5" s="22"/>
      <c r="O5" s="23"/>
      <c r="P5" s="24"/>
      <c r="Q5" s="22"/>
      <c r="V5" s="3"/>
      <c r="W5" s="3"/>
      <c r="BW5" s="107"/>
      <c r="BX5" s="107"/>
      <c r="BY5" s="107"/>
      <c r="BZ5" s="107"/>
      <c r="CA5" s="107"/>
      <c r="CB5" s="107"/>
      <c r="CC5" s="107"/>
      <c r="CD5" s="11"/>
      <c r="CE5" s="6"/>
      <c r="CF5" s="5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6"/>
      <c r="CS5" s="6"/>
      <c r="CT5" s="6"/>
      <c r="CU5" s="6"/>
      <c r="CV5" s="6"/>
    </row>
    <row r="6" spans="1:100" x14ac:dyDescent="0.4">
      <c r="A6" s="26">
        <v>1</v>
      </c>
      <c r="B6" s="40" t="s">
        <v>64</v>
      </c>
      <c r="C6" s="71" t="s">
        <v>65</v>
      </c>
      <c r="D6" s="43" t="s">
        <v>389</v>
      </c>
      <c r="E6" s="76">
        <v>44.727358000000002</v>
      </c>
      <c r="F6" s="42">
        <v>38.071826999999999</v>
      </c>
      <c r="G6" s="30">
        <v>110.941734</v>
      </c>
      <c r="H6" s="41">
        <v>44020</v>
      </c>
      <c r="I6" s="9">
        <f>(O6+P6+Z6/1000+AA6/1000+T6/1000+U6/1000+Y6/1000/32*96)/1000</f>
        <v>18.352167252206502</v>
      </c>
      <c r="J6" s="27">
        <v>23</v>
      </c>
      <c r="K6" s="68">
        <f>2200/(LOG(((U6/1000)^0.5)/(R6/1000000))+5.47)-273</f>
        <v>94.091137677613403</v>
      </c>
      <c r="L6" s="8">
        <v>272</v>
      </c>
      <c r="M6" s="8">
        <v>7.72</v>
      </c>
      <c r="N6" s="109" t="s">
        <v>66</v>
      </c>
      <c r="O6" s="110">
        <v>1001.4166666666667</v>
      </c>
      <c r="P6" s="30">
        <v>10257</v>
      </c>
      <c r="Q6" s="30">
        <f>Y6/32*96/1000</f>
        <v>14.750921414709795</v>
      </c>
      <c r="R6" s="30">
        <v>2251300.0848831758</v>
      </c>
      <c r="S6" s="30">
        <v>41951.933436466818</v>
      </c>
      <c r="T6" s="30">
        <v>6824980.3386807917</v>
      </c>
      <c r="U6" s="30">
        <v>56362.605354052241</v>
      </c>
      <c r="V6" s="9"/>
      <c r="W6" s="30">
        <v>3948.3757763258145</v>
      </c>
      <c r="X6" s="30"/>
      <c r="Y6" s="30">
        <v>4916.9738049032649</v>
      </c>
      <c r="Z6" s="30">
        <v>32559.485234397573</v>
      </c>
      <c r="AA6" s="30">
        <v>165097.2348558814</v>
      </c>
      <c r="AB6" s="9"/>
      <c r="AC6" s="9"/>
      <c r="AD6" s="30">
        <v>144.91428571428571</v>
      </c>
      <c r="AE6" s="30">
        <v>355.16271820898174</v>
      </c>
      <c r="AF6" s="9"/>
      <c r="AG6" s="9"/>
      <c r="AH6" s="9"/>
      <c r="AI6" s="9">
        <v>26.34571428571428</v>
      </c>
      <c r="AJ6" s="9">
        <v>33.311428571428571</v>
      </c>
      <c r="AK6" s="9"/>
      <c r="AL6" s="30">
        <v>26686.105238095242</v>
      </c>
      <c r="AM6" s="30">
        <v>39474.483291891403</v>
      </c>
      <c r="AN6" s="30">
        <v>13810.888400687274</v>
      </c>
      <c r="AO6" s="30"/>
      <c r="AP6" s="30">
        <v>2545.1454545454544</v>
      </c>
      <c r="AQ6" s="30"/>
      <c r="AR6" s="30">
        <v>1741.2850000000001</v>
      </c>
      <c r="AS6" s="30"/>
      <c r="AT6" s="30"/>
      <c r="AU6" s="30">
        <v>7114.4</v>
      </c>
      <c r="AV6" s="30">
        <v>442.75428571428569</v>
      </c>
      <c r="AW6" s="30">
        <v>55386.094400000002</v>
      </c>
      <c r="AX6" s="30">
        <v>2094.8285714285712</v>
      </c>
      <c r="AY6" s="30"/>
      <c r="AZ6" s="9">
        <v>40.651428571428582</v>
      </c>
      <c r="BA6" s="9"/>
      <c r="BB6" s="30">
        <v>114.88800000000001</v>
      </c>
      <c r="BC6" s="9">
        <v>74.240000000000009</v>
      </c>
      <c r="BD6" s="9"/>
      <c r="BE6" s="9">
        <v>40.4</v>
      </c>
      <c r="BF6" s="9"/>
      <c r="BG6" s="9"/>
      <c r="BH6" s="9"/>
      <c r="BI6" s="9"/>
      <c r="BJ6" s="9"/>
      <c r="BK6" s="30"/>
      <c r="BL6" s="30"/>
      <c r="BM6" s="30"/>
      <c r="BN6" s="30"/>
      <c r="BO6" s="30"/>
      <c r="BP6" s="30"/>
      <c r="BQ6" s="30"/>
      <c r="BR6" s="30"/>
      <c r="BS6" s="30">
        <v>263.00119999999998</v>
      </c>
      <c r="BT6" s="30"/>
      <c r="BU6" s="30">
        <v>101.06125714285713</v>
      </c>
      <c r="BV6" s="30"/>
      <c r="BW6" s="9">
        <f t="shared" ref="BW6:BW13" si="0">O6/61/(O6/61+P6/35.5+Q6/96*2)*100</f>
        <v>5.3710046549188224</v>
      </c>
      <c r="BX6" s="9">
        <f t="shared" ref="BX6:BX13" si="1">P6/35.5/(O6/61+P6/35.5+Q6/96*2)*100</f>
        <v>94.528453127336562</v>
      </c>
      <c r="BY6" s="9">
        <f t="shared" ref="BY6:BY13" si="2">Q6/96*2/(O6/61+P6/35.5+Q6/96*2)*100</f>
        <v>0.10054221774460413</v>
      </c>
      <c r="BZ6" s="9">
        <f>T6/23/(T6/23+U6/24.31*2+AA6/40.08*2)*100</f>
        <v>95.841470713296701</v>
      </c>
      <c r="CA6" s="9">
        <f>AA6/40.08*2/(T6/23+U6/24.31*2+AA6/40.08*2)*100</f>
        <v>2.6608597442220301</v>
      </c>
      <c r="CB6" s="9">
        <f>U6/24.31*2/(T6/23+U6/24.31*2+AA6/40.08*2)*100</f>
        <v>1.4976695424812705</v>
      </c>
      <c r="CC6" s="9"/>
      <c r="CD6" s="111">
        <v>-1.7</v>
      </c>
      <c r="CE6" s="112">
        <v>2.5</v>
      </c>
      <c r="CF6" s="113">
        <v>-14</v>
      </c>
      <c r="CG6" s="30"/>
      <c r="CH6" s="61">
        <v>92.95</v>
      </c>
      <c r="CI6" s="114">
        <v>4.6929999999999996</v>
      </c>
      <c r="CJ6" s="62">
        <v>7.0819999999999994E-2</v>
      </c>
      <c r="CK6" s="8"/>
      <c r="CL6" s="8"/>
      <c r="CM6" s="62">
        <v>2.4459999999999999E-2</v>
      </c>
      <c r="CN6" s="8"/>
      <c r="CO6" s="62">
        <v>1.966</v>
      </c>
      <c r="CP6" s="10">
        <f>SUM(CH6:CO6)</f>
        <v>99.704279999999997</v>
      </c>
      <c r="CQ6" s="9"/>
      <c r="CR6" s="9">
        <v>-1.9400000000000002</v>
      </c>
      <c r="CS6" s="63">
        <v>-30</v>
      </c>
      <c r="CT6" s="63">
        <v>-16.600000000000001</v>
      </c>
      <c r="CU6" s="9"/>
      <c r="CV6" s="9"/>
    </row>
    <row r="7" spans="1:100" x14ac:dyDescent="0.4">
      <c r="A7" s="26">
        <v>2</v>
      </c>
      <c r="B7" s="40" t="s">
        <v>67</v>
      </c>
      <c r="C7" s="69" t="s">
        <v>68</v>
      </c>
      <c r="D7" s="26" t="s">
        <v>390</v>
      </c>
      <c r="E7" s="76">
        <v>44.901111111111106</v>
      </c>
      <c r="F7" s="42">
        <v>37.597833333333334</v>
      </c>
      <c r="G7" s="8">
        <v>71</v>
      </c>
      <c r="H7" s="41">
        <v>37125</v>
      </c>
      <c r="I7" s="9">
        <f>(O7+P7+Z7/1000+AA7/1000+T7/1000+U7/1000+Y7/1000/32*96)/1000</f>
        <v>9.8807973744073383</v>
      </c>
      <c r="J7" s="8"/>
      <c r="K7" s="68">
        <f>2200/(LOG(((U7/1000)^0.5)/(R7/1000000))+5.47)-273</f>
        <v>79.086171647359208</v>
      </c>
      <c r="L7" s="8"/>
      <c r="M7" s="27">
        <v>7.9</v>
      </c>
      <c r="N7" s="8">
        <v>1.7</v>
      </c>
      <c r="O7" s="29">
        <v>5361</v>
      </c>
      <c r="P7" s="30">
        <v>1668.5</v>
      </c>
      <c r="Q7" s="30">
        <f>Y7/32*96/1000</f>
        <v>5.7583309185743277</v>
      </c>
      <c r="R7" s="30">
        <v>807525</v>
      </c>
      <c r="S7" s="30">
        <v>309013.64348020579</v>
      </c>
      <c r="T7" s="30">
        <v>2798000</v>
      </c>
      <c r="U7" s="30">
        <v>23510</v>
      </c>
      <c r="V7" s="30">
        <v>272.18081269535946</v>
      </c>
      <c r="W7" s="30">
        <v>4357.4534161490674</v>
      </c>
      <c r="X7" s="30" t="s">
        <v>70</v>
      </c>
      <c r="Y7" s="30">
        <v>1919.4436395247758</v>
      </c>
      <c r="Z7" s="30">
        <v>14649</v>
      </c>
      <c r="AA7" s="30">
        <v>9380.0434887654028</v>
      </c>
      <c r="AB7" s="9">
        <v>1.5437837837837838</v>
      </c>
      <c r="AC7" s="9">
        <v>2.3382241669433563</v>
      </c>
      <c r="AD7" s="30">
        <v>15.96</v>
      </c>
      <c r="AE7" s="30">
        <v>415.77747378020979</v>
      </c>
      <c r="AF7" s="10">
        <v>0.54375565996233299</v>
      </c>
      <c r="AG7" s="9">
        <v>18.722213093133661</v>
      </c>
      <c r="AH7" s="30" t="s">
        <v>71</v>
      </c>
      <c r="AI7" s="9">
        <v>4.170853197786685</v>
      </c>
      <c r="AJ7" s="9">
        <v>94.723857988796794</v>
      </c>
      <c r="AK7" s="9">
        <v>39.605069887367996</v>
      </c>
      <c r="AL7" s="30">
        <v>12152.122099564835</v>
      </c>
      <c r="AM7" s="30">
        <v>4279</v>
      </c>
      <c r="AN7" s="30">
        <v>6538</v>
      </c>
      <c r="AO7" s="9" t="s">
        <v>74</v>
      </c>
      <c r="AP7" s="30">
        <v>41561.540538190864</v>
      </c>
      <c r="AQ7" s="9" t="s">
        <v>74</v>
      </c>
      <c r="AR7" s="30">
        <v>5149.2468749999989</v>
      </c>
      <c r="AS7" s="9" t="s">
        <v>69</v>
      </c>
      <c r="AT7" s="9" t="s">
        <v>69</v>
      </c>
      <c r="AU7" s="9" t="s">
        <v>74</v>
      </c>
      <c r="AV7" s="9">
        <v>1.8074915676310135</v>
      </c>
      <c r="AW7" s="30">
        <v>12798.263333333332</v>
      </c>
      <c r="AX7" s="30">
        <v>226.8413912554789</v>
      </c>
      <c r="AY7" s="9" t="s">
        <v>76</v>
      </c>
      <c r="AZ7" s="9" t="s">
        <v>77</v>
      </c>
      <c r="BA7" s="9" t="s">
        <v>78</v>
      </c>
      <c r="BB7" s="10" t="s">
        <v>79</v>
      </c>
      <c r="BC7" s="10" t="s">
        <v>79</v>
      </c>
      <c r="BD7" s="31" t="s">
        <v>80</v>
      </c>
      <c r="BE7" s="10" t="s">
        <v>81</v>
      </c>
      <c r="BF7" s="10" t="s">
        <v>82</v>
      </c>
      <c r="BG7" s="10" t="s">
        <v>81</v>
      </c>
      <c r="BH7" s="10" t="s">
        <v>82</v>
      </c>
      <c r="BI7" s="31" t="s">
        <v>81</v>
      </c>
      <c r="BJ7" s="10" t="s">
        <v>82</v>
      </c>
      <c r="BK7" s="31" t="s">
        <v>77</v>
      </c>
      <c r="BL7" s="10" t="s">
        <v>78</v>
      </c>
      <c r="BM7" s="10">
        <v>0.39071955831367161</v>
      </c>
      <c r="BN7" s="9" t="s">
        <v>81</v>
      </c>
      <c r="BO7" s="31" t="s">
        <v>83</v>
      </c>
      <c r="BP7" s="31" t="s">
        <v>77</v>
      </c>
      <c r="BQ7" s="10" t="s">
        <v>80</v>
      </c>
      <c r="BR7" s="10" t="s">
        <v>74</v>
      </c>
      <c r="BS7" s="10" t="s">
        <v>78</v>
      </c>
      <c r="BT7" s="10" t="s">
        <v>84</v>
      </c>
      <c r="BU7" s="30">
        <v>976.375</v>
      </c>
      <c r="BV7" s="30"/>
      <c r="BW7" s="9">
        <f t="shared" si="0"/>
        <v>65.097669317069546</v>
      </c>
      <c r="BX7" s="9">
        <f t="shared" si="1"/>
        <v>34.813470981540448</v>
      </c>
      <c r="BY7" s="9">
        <f t="shared" si="2"/>
        <v>8.8859701390024165E-2</v>
      </c>
      <c r="BZ7" s="9">
        <f>T7/23/(T7/23+U7/24.31*2+AA7/40.08*2)*100</f>
        <v>98.063551915569164</v>
      </c>
      <c r="CA7" s="9">
        <f>AA7/40.08*2/(T7/23+U7/24.31*2+AA7/40.08*2)*100</f>
        <v>0.37730701530301408</v>
      </c>
      <c r="CB7" s="9">
        <f>U7/24.31*2/(T7/23+U7/24.31*2+AA7/40.08*2)*100</f>
        <v>1.5591410691278198</v>
      </c>
      <c r="CC7" s="9"/>
      <c r="CD7" s="8"/>
      <c r="CE7" s="9">
        <v>9.725559202085174</v>
      </c>
      <c r="CF7" s="30">
        <v>-21.886182508814542</v>
      </c>
      <c r="CG7" s="30"/>
      <c r="CH7" s="8">
        <v>92.29</v>
      </c>
      <c r="CI7" s="8">
        <v>6.87</v>
      </c>
      <c r="CJ7" s="8"/>
      <c r="CK7" s="31"/>
      <c r="CL7" s="31"/>
      <c r="CM7" s="31"/>
      <c r="CN7" s="8">
        <v>1E-3</v>
      </c>
      <c r="CO7" s="8">
        <v>0.84</v>
      </c>
      <c r="CP7" s="10">
        <f>SUM(CH7:CO7)</f>
        <v>100.00100000000002</v>
      </c>
      <c r="CQ7" s="8"/>
      <c r="CR7" s="9"/>
      <c r="CS7" s="9">
        <v>-38.5</v>
      </c>
      <c r="CT7" s="9">
        <v>-0.5</v>
      </c>
      <c r="CU7" s="9"/>
      <c r="CV7" s="9"/>
    </row>
    <row r="8" spans="1:100" x14ac:dyDescent="0.4">
      <c r="A8" s="26">
        <v>2</v>
      </c>
      <c r="B8" s="40" t="s">
        <v>85</v>
      </c>
      <c r="C8" s="69" t="s">
        <v>86</v>
      </c>
      <c r="D8" s="26" t="s">
        <v>391</v>
      </c>
      <c r="E8" s="115">
        <v>44.901110000000003</v>
      </c>
      <c r="F8" s="116">
        <v>37.597830000000002</v>
      </c>
      <c r="G8" s="8">
        <v>70</v>
      </c>
      <c r="H8" s="41">
        <v>40003</v>
      </c>
      <c r="I8" s="9">
        <f>(O8+P8+Z8/1000+AA8/1000+T8/1000+U8/1000+Y8/1000/32*96)/1000</f>
        <v>10.177411786224722</v>
      </c>
      <c r="J8" s="8">
        <v>22.3</v>
      </c>
      <c r="K8" s="68">
        <f>2200/(LOG(((U8/1000)^0.5)/(R8/1000000))+5.47)-273</f>
        <v>87.278329103830572</v>
      </c>
      <c r="L8" s="8">
        <v>-50</v>
      </c>
      <c r="M8" s="8">
        <v>7.95</v>
      </c>
      <c r="N8" s="9">
        <v>1.9</v>
      </c>
      <c r="O8" s="29">
        <v>5246</v>
      </c>
      <c r="P8" s="30">
        <v>2128</v>
      </c>
      <c r="Q8" s="30">
        <f>Y8/32*96/1000</f>
        <v>35.985763315113772</v>
      </c>
      <c r="R8" s="30">
        <v>1212898.5087907116</v>
      </c>
      <c r="S8" s="30">
        <v>364746.67064673651</v>
      </c>
      <c r="T8" s="30">
        <v>2706250.8809020398</v>
      </c>
      <c r="U8" s="30">
        <v>27569.507097059111</v>
      </c>
      <c r="V8" s="30">
        <v>189.56961066481688</v>
      </c>
      <c r="W8" s="30">
        <v>4851.7091929789849</v>
      </c>
      <c r="X8" s="30"/>
      <c r="Y8" s="30">
        <v>11995.254438371257</v>
      </c>
      <c r="Z8" s="30">
        <v>19939.088299372204</v>
      </c>
      <c r="AA8" s="30">
        <v>13666.54661113676</v>
      </c>
      <c r="AB8" s="9"/>
      <c r="AC8" s="9"/>
      <c r="AD8" s="9">
        <v>2.8158800000000008</v>
      </c>
      <c r="AE8" s="30">
        <v>175.11122742737498</v>
      </c>
      <c r="AF8" s="9"/>
      <c r="AG8" s="9"/>
      <c r="AH8" s="9"/>
      <c r="AI8" s="9">
        <v>7.8746153846153817</v>
      </c>
      <c r="AJ8" s="9">
        <v>51.18</v>
      </c>
      <c r="AK8" s="9">
        <v>21.567259352380951</v>
      </c>
      <c r="AL8" s="30">
        <v>6796.1801000000005</v>
      </c>
      <c r="AM8" s="30">
        <v>5087.7577067476541</v>
      </c>
      <c r="AN8" s="30">
        <v>6777.2548020501745</v>
      </c>
      <c r="AO8" s="30"/>
      <c r="AP8" s="30">
        <v>13038.20888888889</v>
      </c>
      <c r="AQ8" s="30"/>
      <c r="AR8" s="30">
        <v>6459.3820784313721</v>
      </c>
      <c r="AS8" s="30"/>
      <c r="AT8" s="8"/>
      <c r="AU8" s="30">
        <v>1683.4875</v>
      </c>
      <c r="AV8" s="30">
        <v>1827.6082076923078</v>
      </c>
      <c r="AW8" s="30">
        <v>10737.387047619048</v>
      </c>
      <c r="AX8" s="30">
        <v>195.80947368421053</v>
      </c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>
        <v>126.506</v>
      </c>
      <c r="BN8" s="30"/>
      <c r="BO8" s="30"/>
      <c r="BP8" s="9">
        <v>30.886495726495724</v>
      </c>
      <c r="BQ8" s="30"/>
      <c r="BR8" s="30"/>
      <c r="BS8" s="30"/>
      <c r="BT8" s="30"/>
      <c r="BU8" s="30">
        <v>936.36388571428574</v>
      </c>
      <c r="BV8" s="30"/>
      <c r="BW8" s="9">
        <f t="shared" si="0"/>
        <v>58.625691612299946</v>
      </c>
      <c r="BX8" s="9">
        <f t="shared" si="1"/>
        <v>40.863240010145525</v>
      </c>
      <c r="BY8" s="9">
        <f t="shared" si="2"/>
        <v>0.51106837755452439</v>
      </c>
      <c r="BZ8" s="9">
        <f>T8/23/(T8/23+U8/24.31*2+AA8/40.08*2)*100</f>
        <v>97.554061191872677</v>
      </c>
      <c r="CA8" s="9">
        <f>AA8/40.08*2/(T8/23+U8/24.31*2+AA8/40.08*2)*100</f>
        <v>0.56541354020715684</v>
      </c>
      <c r="CB8" s="9">
        <f>U8/24.31*2/(T8/23+U8/24.31*2+AA8/40.08*2)*100</f>
        <v>1.8805252679201627</v>
      </c>
      <c r="CC8" s="9"/>
      <c r="CD8" s="9">
        <v>9.1</v>
      </c>
      <c r="CE8" s="9">
        <v>10.3</v>
      </c>
      <c r="CF8" s="30">
        <v>-25</v>
      </c>
      <c r="CG8" s="30"/>
      <c r="CH8" s="10">
        <v>78.697000000000003</v>
      </c>
      <c r="CI8" s="9">
        <v>17.379000000000001</v>
      </c>
      <c r="CJ8" s="10">
        <v>9.4246999999999994E-3</v>
      </c>
      <c r="CK8" s="32">
        <v>1.4219E-3</v>
      </c>
      <c r="CL8" s="32"/>
      <c r="CM8" s="32"/>
      <c r="CN8" s="31">
        <v>2.3837000000000001E-2</v>
      </c>
      <c r="CO8" s="10">
        <v>0.75785000000000002</v>
      </c>
      <c r="CP8" s="10">
        <f t="shared" ref="CP8" si="3">SUM(CH8:CO8)</f>
        <v>96.868533600000006</v>
      </c>
      <c r="CQ8" s="8"/>
      <c r="CR8" s="9"/>
      <c r="CS8" s="117">
        <v>-48.8</v>
      </c>
      <c r="CT8" s="117">
        <v>-3.9</v>
      </c>
      <c r="CU8" s="9"/>
      <c r="CV8" s="9"/>
    </row>
    <row r="9" spans="1:100" x14ac:dyDescent="0.4">
      <c r="A9" s="26">
        <v>2</v>
      </c>
      <c r="B9" s="40" t="s">
        <v>87</v>
      </c>
      <c r="C9" s="69" t="s">
        <v>88</v>
      </c>
      <c r="D9" s="26" t="s">
        <v>393</v>
      </c>
      <c r="E9" s="115">
        <v>44.901110000000003</v>
      </c>
      <c r="F9" s="116">
        <v>37.597830000000002</v>
      </c>
      <c r="G9" s="8">
        <v>70</v>
      </c>
      <c r="H9" s="41">
        <v>40003</v>
      </c>
      <c r="I9" s="9"/>
      <c r="J9" s="27">
        <v>23</v>
      </c>
      <c r="K9" s="68"/>
      <c r="L9" s="8">
        <v>120</v>
      </c>
      <c r="M9" s="27">
        <v>8.42</v>
      </c>
      <c r="N9" s="9">
        <v>1.4</v>
      </c>
      <c r="O9" s="29">
        <v>4626</v>
      </c>
      <c r="P9" s="30">
        <v>2127</v>
      </c>
      <c r="Q9" s="3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9">
        <f t="shared" si="0"/>
        <v>55.86386365955709</v>
      </c>
      <c r="BX9" s="9">
        <f t="shared" si="1"/>
        <v>44.136136340442896</v>
      </c>
      <c r="BY9" s="9">
        <f t="shared" si="2"/>
        <v>0</v>
      </c>
      <c r="BZ9" s="9"/>
      <c r="CA9" s="9"/>
      <c r="CB9" s="9"/>
      <c r="CC9" s="9"/>
      <c r="CD9" s="9">
        <v>7.9</v>
      </c>
      <c r="CE9" s="9">
        <v>6.3</v>
      </c>
      <c r="CF9" s="30">
        <v>-20</v>
      </c>
      <c r="CG9" s="8"/>
      <c r="CH9" s="10"/>
      <c r="CI9" s="9"/>
      <c r="CJ9" s="10"/>
      <c r="CK9" s="32"/>
      <c r="CL9" s="32"/>
      <c r="CM9" s="32"/>
      <c r="CN9" s="31"/>
      <c r="CO9" s="10"/>
      <c r="CP9" s="10"/>
      <c r="CQ9" s="8"/>
      <c r="CR9" s="9"/>
      <c r="CS9" s="63"/>
      <c r="CT9" s="63"/>
      <c r="CU9" s="9"/>
      <c r="CV9" s="9"/>
    </row>
    <row r="10" spans="1:100" x14ac:dyDescent="0.4">
      <c r="A10" s="26">
        <v>2</v>
      </c>
      <c r="B10" s="40" t="s">
        <v>89</v>
      </c>
      <c r="C10" s="69" t="s">
        <v>90</v>
      </c>
      <c r="D10" s="26" t="s">
        <v>392</v>
      </c>
      <c r="E10" s="115">
        <v>44.901110000000003</v>
      </c>
      <c r="F10" s="116">
        <v>37.597830000000002</v>
      </c>
      <c r="G10" s="8">
        <v>70</v>
      </c>
      <c r="H10" s="41">
        <v>40003</v>
      </c>
      <c r="I10" s="9">
        <f>(O10+P10+Z10/1000+AA10/1000+T10/1000+U10/1000+Y10/1000/32*96)/1000</f>
        <v>10.974436325774164</v>
      </c>
      <c r="J10" s="8">
        <v>23</v>
      </c>
      <c r="K10" s="68">
        <f>2200/(LOG(((U10/1000)^0.5)/(R10/1000000))+5.47)-273</f>
        <v>85.902481785589828</v>
      </c>
      <c r="L10" s="8">
        <v>120</v>
      </c>
      <c r="M10" s="8">
        <v>8.25</v>
      </c>
      <c r="N10" s="9">
        <v>1.8</v>
      </c>
      <c r="O10" s="29">
        <v>5612</v>
      </c>
      <c r="P10" s="30">
        <v>2128</v>
      </c>
      <c r="Q10" s="30">
        <f>Y10/32*96/1000</f>
        <v>176.09635184949795</v>
      </c>
      <c r="R10" s="30">
        <v>1155563.6969580411</v>
      </c>
      <c r="S10" s="30">
        <v>412667.11979909637</v>
      </c>
      <c r="T10" s="30">
        <v>3006081.7477096501</v>
      </c>
      <c r="U10" s="30">
        <v>27873.106052735187</v>
      </c>
      <c r="V10" s="30">
        <v>236.04771598845005</v>
      </c>
      <c r="W10" s="30">
        <v>5339.4317793395339</v>
      </c>
      <c r="X10" s="30"/>
      <c r="Y10" s="30">
        <v>58698.783949832643</v>
      </c>
      <c r="Z10" s="30">
        <v>16282.386447138671</v>
      </c>
      <c r="AA10" s="30">
        <v>8102.7337151437387</v>
      </c>
      <c r="AB10" s="9"/>
      <c r="AC10" s="9"/>
      <c r="AD10" s="9">
        <v>5.2600799999999994</v>
      </c>
      <c r="AE10" s="30">
        <v>359.96778152417778</v>
      </c>
      <c r="AF10" s="30"/>
      <c r="AG10" s="30"/>
      <c r="AH10" s="30"/>
      <c r="AI10" s="9"/>
      <c r="AJ10" s="30">
        <v>113.72</v>
      </c>
      <c r="AK10" s="9">
        <v>9.6434987406162467</v>
      </c>
      <c r="AL10" s="30">
        <v>8073.2201000000005</v>
      </c>
      <c r="AM10" s="30">
        <v>3715.588638078646</v>
      </c>
      <c r="AN10" s="30">
        <v>3486.6409798715904</v>
      </c>
      <c r="AO10" s="30">
        <v>133.04348270598243</v>
      </c>
      <c r="AP10" s="30">
        <v>15148.20888888889</v>
      </c>
      <c r="AQ10" s="30"/>
      <c r="AR10" s="30">
        <v>9243.842078431373</v>
      </c>
      <c r="AS10" s="30"/>
      <c r="AT10" s="8"/>
      <c r="AU10" s="30">
        <v>667.58749999999998</v>
      </c>
      <c r="AV10" s="30">
        <v>177.62170769230767</v>
      </c>
      <c r="AW10" s="30">
        <v>6485.5470476190476</v>
      </c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>
        <v>160.08600000000001</v>
      </c>
      <c r="BN10" s="30"/>
      <c r="BO10" s="30"/>
      <c r="BP10" s="9">
        <v>32.076495726495729</v>
      </c>
      <c r="BQ10" s="30"/>
      <c r="BR10" s="30"/>
      <c r="BS10" s="30"/>
      <c r="BT10" s="30"/>
      <c r="BU10" s="30">
        <v>2051.2238857142856</v>
      </c>
      <c r="BV10" s="30"/>
      <c r="BW10" s="9">
        <f t="shared" si="0"/>
        <v>59.121276875187846</v>
      </c>
      <c r="BX10" s="9">
        <f t="shared" si="1"/>
        <v>38.52115039510096</v>
      </c>
      <c r="BY10" s="9">
        <f t="shared" si="2"/>
        <v>2.3575727297112015</v>
      </c>
      <c r="BZ10" s="9">
        <f>T10/23/(T10/23+U10/24.31*2+AA10/40.08*2)*100</f>
        <v>97.977860255859071</v>
      </c>
      <c r="CA10" s="9">
        <f>AA10/40.08*2/(T10/23+U10/24.31*2+AA10/40.08*2)*100</f>
        <v>0.30310203310110301</v>
      </c>
      <c r="CB10" s="9">
        <f>U10/24.31*2/(T10/23+U10/24.31*2+AA10/40.08*2)*100</f>
        <v>1.7190377110398143</v>
      </c>
      <c r="CC10" s="9"/>
      <c r="CD10" s="9">
        <v>8.9</v>
      </c>
      <c r="CE10" s="9">
        <v>10</v>
      </c>
      <c r="CF10" s="30">
        <v>-27</v>
      </c>
      <c r="CG10" s="30"/>
      <c r="CH10" s="10">
        <v>88.061999999999998</v>
      </c>
      <c r="CI10" s="9">
        <v>8.0416000000000007</v>
      </c>
      <c r="CJ10" s="10">
        <v>1.4747E-2</v>
      </c>
      <c r="CK10" s="32">
        <v>2.0600000000000002E-3</v>
      </c>
      <c r="CL10" s="32"/>
      <c r="CM10" s="32"/>
      <c r="CN10" s="31">
        <v>2.1464E-2</v>
      </c>
      <c r="CO10" s="10">
        <v>1.0046999999999999</v>
      </c>
      <c r="CP10" s="10">
        <v>97.147000000000006</v>
      </c>
      <c r="CQ10" s="8"/>
      <c r="CR10" s="118">
        <v>-0.9</v>
      </c>
      <c r="CS10" s="117">
        <v>-47</v>
      </c>
      <c r="CT10" s="117">
        <v>0.3</v>
      </c>
      <c r="CU10" s="9"/>
      <c r="CV10" s="119">
        <v>-165.83</v>
      </c>
    </row>
    <row r="11" spans="1:100" x14ac:dyDescent="0.4">
      <c r="A11" s="26">
        <v>2</v>
      </c>
      <c r="B11" s="40" t="s">
        <v>91</v>
      </c>
      <c r="C11" s="71" t="s">
        <v>68</v>
      </c>
      <c r="D11" s="43" t="s">
        <v>390</v>
      </c>
      <c r="E11" s="76">
        <v>44.901179999999997</v>
      </c>
      <c r="F11" s="42">
        <v>37.597659999999998</v>
      </c>
      <c r="G11" s="30">
        <v>65.099402999999995</v>
      </c>
      <c r="H11" s="41">
        <v>44020</v>
      </c>
      <c r="I11" s="9">
        <f>(O11+P11+Z11/1000+AA11/1000+T11/1000+U11/1000+Y11/1000/32*96)/1000</f>
        <v>9.4360648749588929</v>
      </c>
      <c r="J11" s="27">
        <v>17</v>
      </c>
      <c r="K11" s="68">
        <f>2200/(LOG(((U11/1000)^0.5)/(R11/1000000))+5.47)-273</f>
        <v>78.801788270191309</v>
      </c>
      <c r="L11" s="8">
        <v>142</v>
      </c>
      <c r="M11" s="8">
        <v>7.46</v>
      </c>
      <c r="N11" s="109" t="s">
        <v>66</v>
      </c>
      <c r="O11" s="110">
        <v>4849.5</v>
      </c>
      <c r="P11" s="30">
        <v>1568</v>
      </c>
      <c r="Q11" s="30">
        <f>Y11/32*96/1000</f>
        <v>3.7835005724994852</v>
      </c>
      <c r="R11" s="30">
        <v>881494.80845275451</v>
      </c>
      <c r="S11" s="30">
        <v>326242.91814070637</v>
      </c>
      <c r="T11" s="30">
        <v>2942892.2811689517</v>
      </c>
      <c r="U11" s="30">
        <v>28673.601970595049</v>
      </c>
      <c r="V11" s="9">
        <v>108.46285714285715</v>
      </c>
      <c r="W11" s="30">
        <v>3763.4890217717543</v>
      </c>
      <c r="X11" s="30"/>
      <c r="Y11" s="30">
        <v>1261.1668574998284</v>
      </c>
      <c r="Z11" s="30">
        <v>18618.723007475459</v>
      </c>
      <c r="AA11" s="30">
        <v>24596.768239370485</v>
      </c>
      <c r="AB11" s="9">
        <v>3.9536318229389638</v>
      </c>
      <c r="AC11" s="9"/>
      <c r="AD11" s="9">
        <v>39.677142857142861</v>
      </c>
      <c r="AE11" s="30">
        <v>914.91376085046784</v>
      </c>
      <c r="AF11" s="9">
        <v>2.236048514035887</v>
      </c>
      <c r="AG11" s="9">
        <v>4.5199351842896753</v>
      </c>
      <c r="AH11" s="9"/>
      <c r="AI11" s="9"/>
      <c r="AJ11" s="9">
        <v>87.775714285714272</v>
      </c>
      <c r="AK11" s="9">
        <v>3.3125072004655221</v>
      </c>
      <c r="AL11" s="30">
        <v>9004.0526190476176</v>
      </c>
      <c r="AM11" s="30">
        <v>5689.968889876347</v>
      </c>
      <c r="AN11" s="30">
        <v>8993.0512814822287</v>
      </c>
      <c r="AO11" s="30">
        <v>486.78946028924724</v>
      </c>
      <c r="AP11" s="30">
        <v>11220.875</v>
      </c>
      <c r="AQ11" s="9"/>
      <c r="AR11" s="30">
        <v>3178.0425000000005</v>
      </c>
      <c r="AS11" s="30"/>
      <c r="AT11" s="30"/>
      <c r="AU11" s="30">
        <v>460.20000000000005</v>
      </c>
      <c r="AV11" s="30">
        <v>853.5771428571428</v>
      </c>
      <c r="AW11" s="30">
        <v>12993.6872</v>
      </c>
      <c r="AX11" s="30">
        <v>274.21428571428572</v>
      </c>
      <c r="AY11" s="30">
        <v>609.26139195765052</v>
      </c>
      <c r="AZ11" s="30">
        <v>1544.4857142857143</v>
      </c>
      <c r="BA11" s="30">
        <v>164.00571428571428</v>
      </c>
      <c r="BB11" s="30">
        <v>755.98</v>
      </c>
      <c r="BC11" s="30">
        <v>202.8</v>
      </c>
      <c r="BD11" s="30"/>
      <c r="BE11" s="30">
        <v>177.01999999999998</v>
      </c>
      <c r="BF11" s="9">
        <v>21.397142857142857</v>
      </c>
      <c r="BG11" s="30">
        <v>112.71142857142857</v>
      </c>
      <c r="BH11" s="9">
        <v>19.439999999999998</v>
      </c>
      <c r="BI11" s="9">
        <v>46.04571428571429</v>
      </c>
      <c r="BJ11" s="9">
        <v>8.34</v>
      </c>
      <c r="BK11" s="9">
        <v>47.154285714285713</v>
      </c>
      <c r="BL11" s="9">
        <v>6.7385714285714284</v>
      </c>
      <c r="BM11" s="30">
        <v>212.26</v>
      </c>
      <c r="BN11" s="9"/>
      <c r="BO11" s="30"/>
      <c r="BP11" s="30"/>
      <c r="BQ11" s="9"/>
      <c r="BR11" s="10"/>
      <c r="BS11" s="9"/>
      <c r="BT11" s="9">
        <v>91.858742857142843</v>
      </c>
      <c r="BU11" s="30">
        <v>473.51942857142853</v>
      </c>
      <c r="BV11" s="30"/>
      <c r="BW11" s="9">
        <f t="shared" si="0"/>
        <v>64.24354713495606</v>
      </c>
      <c r="BX11" s="9">
        <f t="shared" si="1"/>
        <v>35.692756455881337</v>
      </c>
      <c r="BY11" s="9">
        <f t="shared" si="2"/>
        <v>6.3696409162605841E-2</v>
      </c>
      <c r="BZ11" s="9">
        <f>T11/23/(T11/23+U11/24.31*2+AA11/40.08*2)*100</f>
        <v>97.273507161796587</v>
      </c>
      <c r="CA11" s="9">
        <f>AA11/40.08*2/(T11/23+U11/24.31*2+AA11/40.08*2)*100</f>
        <v>0.9331004018881659</v>
      </c>
      <c r="CB11" s="9">
        <f>U11/24.31*2/(T11/23+U11/24.31*2+AA11/40.08*2)*100</f>
        <v>1.7933924363152363</v>
      </c>
      <c r="CC11" s="9"/>
      <c r="CD11" s="111">
        <v>8.5</v>
      </c>
      <c r="CE11" s="112">
        <v>9.6999999999999993</v>
      </c>
      <c r="CF11" s="113">
        <v>-20</v>
      </c>
      <c r="CG11" s="30"/>
      <c r="CH11" s="8">
        <v>84.65</v>
      </c>
      <c r="CI11" s="10">
        <v>13.42</v>
      </c>
      <c r="CJ11" s="32">
        <v>1.123E-2</v>
      </c>
      <c r="CK11" s="8">
        <v>1.4679999999999999E-4</v>
      </c>
      <c r="CL11" s="8"/>
      <c r="CM11" s="31">
        <v>0.1234</v>
      </c>
      <c r="CN11" s="8"/>
      <c r="CO11" s="8">
        <v>4.92</v>
      </c>
      <c r="CP11" s="10">
        <v>97.147000000000006</v>
      </c>
      <c r="CQ11" s="30"/>
      <c r="CR11" s="9"/>
      <c r="CS11" s="63">
        <v>-43.4</v>
      </c>
      <c r="CT11" s="63">
        <v>-3.2</v>
      </c>
      <c r="CU11" s="9"/>
      <c r="CV11" s="9"/>
    </row>
    <row r="12" spans="1:100" x14ac:dyDescent="0.4">
      <c r="A12" s="26">
        <v>3</v>
      </c>
      <c r="B12" s="40" t="s">
        <v>92</v>
      </c>
      <c r="C12" s="69" t="s">
        <v>93</v>
      </c>
      <c r="D12" s="26" t="s">
        <v>394</v>
      </c>
      <c r="E12" s="76">
        <v>45.005611111111108</v>
      </c>
      <c r="F12" s="42">
        <v>37.723722222222221</v>
      </c>
      <c r="G12" s="8">
        <v>131</v>
      </c>
      <c r="H12" s="41">
        <v>37126</v>
      </c>
      <c r="I12" s="9">
        <f>(O12+P12+Z12/1000+AA12/1000+T12/1000+U12/1000+Y12/1000/32*96)/1000</f>
        <v>19.143256840895699</v>
      </c>
      <c r="J12" s="8"/>
      <c r="K12" s="68">
        <f>2200/(LOG(((U12/1000)^0.5)/(R12/1000000))+5.47)-273</f>
        <v>128.06644210887077</v>
      </c>
      <c r="L12" s="8"/>
      <c r="M12" s="27">
        <v>7.95</v>
      </c>
      <c r="N12" s="8">
        <v>0.42</v>
      </c>
      <c r="O12" s="29">
        <v>204.3</v>
      </c>
      <c r="P12" s="30">
        <v>11892.5</v>
      </c>
      <c r="Q12" s="30">
        <f>Y12/32*96/1000</f>
        <v>1.0682121124311796</v>
      </c>
      <c r="R12" s="30">
        <v>8563160</v>
      </c>
      <c r="S12" s="30">
        <v>221605.9047193022</v>
      </c>
      <c r="T12" s="30">
        <v>5468000</v>
      </c>
      <c r="U12" s="30">
        <v>78708.011590156806</v>
      </c>
      <c r="V12" s="30">
        <v>174.84972349122384</v>
      </c>
      <c r="W12" s="30">
        <v>3574.8447204968938</v>
      </c>
      <c r="X12" s="30" t="s">
        <v>94</v>
      </c>
      <c r="Y12" s="30">
        <v>356.07070414372652</v>
      </c>
      <c r="Z12" s="30">
        <v>206055</v>
      </c>
      <c r="AA12" s="30">
        <v>1292625.6171931142</v>
      </c>
      <c r="AB12" s="9">
        <v>6.3567567567567576</v>
      </c>
      <c r="AC12" s="30" t="s">
        <v>73</v>
      </c>
      <c r="AD12" s="30">
        <v>594.32000000000005</v>
      </c>
      <c r="AE12" s="30">
        <v>126.49338805289557</v>
      </c>
      <c r="AF12" s="9">
        <v>2.3031607104736991</v>
      </c>
      <c r="AG12" s="9">
        <v>23.039770151543802</v>
      </c>
      <c r="AH12" s="30" t="s">
        <v>97</v>
      </c>
      <c r="AI12" s="9">
        <v>24.251543552249057</v>
      </c>
      <c r="AJ12" s="30" t="s">
        <v>71</v>
      </c>
      <c r="AK12" s="30" t="s">
        <v>96</v>
      </c>
      <c r="AL12" s="30">
        <v>44078.814502096575</v>
      </c>
      <c r="AM12" s="30">
        <v>36870</v>
      </c>
      <c r="AN12" s="30">
        <v>9140</v>
      </c>
      <c r="AO12" s="9" t="s">
        <v>98</v>
      </c>
      <c r="AP12" s="30"/>
      <c r="AQ12" s="9" t="s">
        <v>76</v>
      </c>
      <c r="AR12" s="30">
        <v>2356.09375</v>
      </c>
      <c r="AS12" s="9" t="s">
        <v>74</v>
      </c>
      <c r="AT12" s="9" t="s">
        <v>98</v>
      </c>
      <c r="AU12" s="9" t="s">
        <v>99</v>
      </c>
      <c r="AV12" s="9" t="s">
        <v>76</v>
      </c>
      <c r="AW12" s="30">
        <v>723434.83666666667</v>
      </c>
      <c r="AX12" s="30">
        <v>578462.01594310044</v>
      </c>
      <c r="AY12" s="10" t="s">
        <v>74</v>
      </c>
      <c r="AZ12" s="10" t="s">
        <v>79</v>
      </c>
      <c r="BA12" s="10" t="s">
        <v>77</v>
      </c>
      <c r="BB12" s="10" t="s">
        <v>100</v>
      </c>
      <c r="BC12" s="10" t="s">
        <v>101</v>
      </c>
      <c r="BD12" s="10" t="s">
        <v>102</v>
      </c>
      <c r="BE12" s="10" t="s">
        <v>103</v>
      </c>
      <c r="BF12" s="10" t="s">
        <v>80</v>
      </c>
      <c r="BG12" s="10" t="s">
        <v>104</v>
      </c>
      <c r="BH12" s="10" t="s">
        <v>80</v>
      </c>
      <c r="BI12" s="10" t="s">
        <v>79</v>
      </c>
      <c r="BJ12" s="10" t="s">
        <v>80</v>
      </c>
      <c r="BK12" s="10" t="s">
        <v>104</v>
      </c>
      <c r="BL12" s="10" t="s">
        <v>77</v>
      </c>
      <c r="BM12" s="31" t="s">
        <v>69</v>
      </c>
      <c r="BN12" s="10" t="s">
        <v>69</v>
      </c>
      <c r="BO12" s="31" t="s">
        <v>76</v>
      </c>
      <c r="BP12" s="31" t="s">
        <v>69</v>
      </c>
      <c r="BQ12" s="10" t="s">
        <v>79</v>
      </c>
      <c r="BR12" s="10" t="s">
        <v>105</v>
      </c>
      <c r="BS12" s="10" t="s">
        <v>81</v>
      </c>
      <c r="BT12" s="10">
        <v>0.20661588045191051</v>
      </c>
      <c r="BU12" s="30">
        <v>239.14999999999998</v>
      </c>
      <c r="BV12" s="30"/>
      <c r="BW12" s="9">
        <f t="shared" si="0"/>
        <v>0.98979404995408105</v>
      </c>
      <c r="BX12" s="9">
        <f t="shared" si="1"/>
        <v>99.003629029915047</v>
      </c>
      <c r="BY12" s="9">
        <f t="shared" si="2"/>
        <v>6.5769201308705488E-3</v>
      </c>
      <c r="BZ12" s="9">
        <f>T12/23/(T12/23+U12/24.31*2+AA12/40.08*2)*100</f>
        <v>77.008816936069792</v>
      </c>
      <c r="CA12" s="9">
        <f>AA12/40.08*2/(T12/23+U12/24.31*2+AA12/40.08*2)*100</f>
        <v>20.893674419539408</v>
      </c>
      <c r="CB12" s="9">
        <f>U12/24.31*2/(T12/23+U12/24.31*2+AA12/40.08*2)*100</f>
        <v>2.0975086443908078</v>
      </c>
      <c r="CC12" s="9"/>
      <c r="CD12" s="8"/>
      <c r="CE12" s="9">
        <v>6.2317258983588548</v>
      </c>
      <c r="CF12" s="30">
        <v>-13.485464418858299</v>
      </c>
      <c r="CG12" s="30"/>
      <c r="CH12" s="8">
        <v>95.83</v>
      </c>
      <c r="CI12" s="8">
        <v>1.24</v>
      </c>
      <c r="CJ12" s="8"/>
      <c r="CK12" s="31"/>
      <c r="CL12" s="31"/>
      <c r="CM12" s="31"/>
      <c r="CN12" s="8">
        <v>4.0000000000000001E-3</v>
      </c>
      <c r="CO12" s="8">
        <v>2.93</v>
      </c>
      <c r="CP12" s="10">
        <f>SUM(CH12:CO12)</f>
        <v>100.004</v>
      </c>
      <c r="CQ12" s="8"/>
      <c r="CR12" s="9"/>
      <c r="CS12" s="9">
        <v>-33.75</v>
      </c>
      <c r="CT12" s="9">
        <v>6.55</v>
      </c>
      <c r="CU12" s="9"/>
      <c r="CV12" s="9"/>
    </row>
    <row r="13" spans="1:100" x14ac:dyDescent="0.4">
      <c r="A13" s="26">
        <v>3</v>
      </c>
      <c r="B13" s="40" t="s">
        <v>106</v>
      </c>
      <c r="C13" s="69" t="s">
        <v>107</v>
      </c>
      <c r="D13" s="26" t="s">
        <v>395</v>
      </c>
      <c r="E13" s="76">
        <v>45.005611111111108</v>
      </c>
      <c r="F13" s="42">
        <v>37.723722222222221</v>
      </c>
      <c r="G13" s="8">
        <v>131</v>
      </c>
      <c r="H13" s="41">
        <v>39997</v>
      </c>
      <c r="I13" s="9">
        <f>(O13+P13+Z13/1000+AA13/1000+T13/1000+U13/1000+Y13/1000/32*96)/1000</f>
        <v>19.698669482983433</v>
      </c>
      <c r="J13" s="27"/>
      <c r="K13" s="68">
        <f>2200/(LOG(((U13/1000)^0.5)/(R13/1000000))+5.47)-273</f>
        <v>136.10136275738813</v>
      </c>
      <c r="L13" s="8"/>
      <c r="M13" s="8">
        <v>6.93</v>
      </c>
      <c r="N13" s="9">
        <v>0.4</v>
      </c>
      <c r="O13" s="29">
        <v>610</v>
      </c>
      <c r="P13" s="30">
        <v>11347</v>
      </c>
      <c r="Q13" s="30">
        <f>Y13/32*96/1000</f>
        <v>1.5163715364587826</v>
      </c>
      <c r="R13" s="30">
        <v>13259553.599772312</v>
      </c>
      <c r="S13" s="30">
        <v>250102.19520154595</v>
      </c>
      <c r="T13" s="30">
        <v>5835697.649798857</v>
      </c>
      <c r="U13" s="30">
        <v>114904.89439515636</v>
      </c>
      <c r="V13" s="30"/>
      <c r="W13" s="30">
        <v>6676.6060813742379</v>
      </c>
      <c r="X13" s="30"/>
      <c r="Y13" s="30">
        <v>505.45717881959422</v>
      </c>
      <c r="Z13" s="30">
        <v>229599.20930319841</v>
      </c>
      <c r="AA13" s="30">
        <v>1559951.3579497635</v>
      </c>
      <c r="AB13" s="30"/>
      <c r="AC13" s="30"/>
      <c r="AD13" s="30">
        <v>624.96376000000009</v>
      </c>
      <c r="AE13" s="30">
        <v>10939.708419119692</v>
      </c>
      <c r="AF13" s="30"/>
      <c r="AG13" s="30"/>
      <c r="AH13" s="9">
        <v>10.181538461538462</v>
      </c>
      <c r="AI13" s="9"/>
      <c r="AJ13" s="9">
        <v>9.64</v>
      </c>
      <c r="AK13" s="9">
        <v>13.08997274013986</v>
      </c>
      <c r="AL13" s="30">
        <v>31589.2402</v>
      </c>
      <c r="AM13" s="30">
        <v>41985.954009221605</v>
      </c>
      <c r="AN13" s="30">
        <v>10375.446662162005</v>
      </c>
      <c r="AO13" s="30"/>
      <c r="AP13" s="30">
        <v>1886.8177777777778</v>
      </c>
      <c r="AQ13" s="30"/>
      <c r="AR13" s="30">
        <v>1710.072156862745</v>
      </c>
      <c r="AS13" s="30"/>
      <c r="AT13" s="8"/>
      <c r="AU13" s="30"/>
      <c r="AV13" s="30">
        <v>818.53041538461525</v>
      </c>
      <c r="AW13" s="30">
        <v>575969.09409523814</v>
      </c>
      <c r="AX13" s="30">
        <v>433422.81894736842</v>
      </c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9">
        <v>23.957371428571431</v>
      </c>
      <c r="BV13" s="9"/>
      <c r="BW13" s="9">
        <f t="shared" si="0"/>
        <v>3.0333787486712041</v>
      </c>
      <c r="BX13" s="9">
        <f t="shared" si="1"/>
        <v>96.957038482175079</v>
      </c>
      <c r="BY13" s="9">
        <f t="shared" si="2"/>
        <v>9.5827691537166085E-3</v>
      </c>
      <c r="BZ13" s="9">
        <f>T13/23/(T13/23+U13/24.31*2+AA13/40.08*2)*100</f>
        <v>74.401827774047163</v>
      </c>
      <c r="CA13" s="9">
        <f>AA13/40.08*2/(T13/23+U13/24.31*2+AA13/40.08*2)*100</f>
        <v>22.826114801572675</v>
      </c>
      <c r="CB13" s="9">
        <f>U13/24.31*2/(T13/23+U13/24.31*2+AA13/40.08*2)*100</f>
        <v>2.772057424380161</v>
      </c>
      <c r="CC13" s="9"/>
      <c r="CD13" s="9">
        <v>27</v>
      </c>
      <c r="CE13" s="9">
        <v>5</v>
      </c>
      <c r="CF13" s="30">
        <v>-21</v>
      </c>
      <c r="CG13" s="9"/>
      <c r="CH13" s="10">
        <v>91.503</v>
      </c>
      <c r="CI13" s="9">
        <v>1.6869000000000001</v>
      </c>
      <c r="CJ13" s="31">
        <v>8.5000000000000006E-2</v>
      </c>
      <c r="CK13" s="32">
        <v>3.0000000000000001E-3</v>
      </c>
      <c r="CL13" s="32"/>
      <c r="CM13" s="32"/>
      <c r="CN13" s="31">
        <v>1.7999999999999999E-2</v>
      </c>
      <c r="CO13" s="10">
        <v>3.3349000000000002</v>
      </c>
      <c r="CP13" s="10">
        <v>96.631</v>
      </c>
      <c r="CQ13" s="8"/>
      <c r="CR13" s="118">
        <v>-2.9</v>
      </c>
      <c r="CS13" s="49">
        <v>-34.6</v>
      </c>
      <c r="CT13" s="50">
        <v>-22.1</v>
      </c>
      <c r="CU13" s="9"/>
      <c r="CV13" s="30">
        <v>-162</v>
      </c>
    </row>
    <row r="14" spans="1:100" x14ac:dyDescent="0.4">
      <c r="A14" s="26">
        <v>3</v>
      </c>
      <c r="B14" s="40" t="s">
        <v>108</v>
      </c>
      <c r="C14" s="69" t="s">
        <v>107</v>
      </c>
      <c r="D14" s="26" t="s">
        <v>395</v>
      </c>
      <c r="E14" s="76">
        <v>45.005611111111108</v>
      </c>
      <c r="F14" s="42">
        <v>37.723722222222221</v>
      </c>
      <c r="G14" s="8">
        <v>131</v>
      </c>
      <c r="H14" s="41">
        <v>39997</v>
      </c>
      <c r="I14" s="9"/>
      <c r="J14" s="8">
        <v>23.5</v>
      </c>
      <c r="K14" s="68"/>
      <c r="L14" s="8"/>
      <c r="M14" s="8"/>
      <c r="N14" s="9">
        <v>0.5</v>
      </c>
      <c r="O14" s="29">
        <v>244</v>
      </c>
      <c r="P14" s="30">
        <v>19645</v>
      </c>
      <c r="Q14" s="30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9"/>
      <c r="BX14" s="9"/>
      <c r="BY14" s="9"/>
      <c r="BZ14" s="9"/>
      <c r="CA14" s="9"/>
      <c r="CB14" s="9"/>
      <c r="CC14" s="9"/>
      <c r="CD14" s="9">
        <v>7.3</v>
      </c>
      <c r="CE14" s="9">
        <v>6.2</v>
      </c>
      <c r="CF14" s="30">
        <v>-13</v>
      </c>
      <c r="CG14" s="8"/>
      <c r="CH14" s="10"/>
      <c r="CI14" s="9"/>
      <c r="CJ14" s="10"/>
      <c r="CK14" s="32"/>
      <c r="CL14" s="32"/>
      <c r="CM14" s="32"/>
      <c r="CN14" s="31"/>
      <c r="CO14" s="10"/>
      <c r="CP14" s="10"/>
      <c r="CQ14" s="8"/>
      <c r="CR14" s="9"/>
      <c r="CS14" s="9"/>
      <c r="CT14" s="9"/>
      <c r="CU14" s="9"/>
      <c r="CV14" s="9"/>
    </row>
    <row r="15" spans="1:100" x14ac:dyDescent="0.4">
      <c r="A15" s="26">
        <v>3</v>
      </c>
      <c r="B15" s="40" t="s">
        <v>109</v>
      </c>
      <c r="C15" s="69" t="s">
        <v>110</v>
      </c>
      <c r="D15" s="26" t="s">
        <v>398</v>
      </c>
      <c r="E15" s="76">
        <v>45.005611111111108</v>
      </c>
      <c r="F15" s="42">
        <v>37.723722222222221</v>
      </c>
      <c r="G15" s="8">
        <v>131</v>
      </c>
      <c r="H15" s="41">
        <v>39997</v>
      </c>
      <c r="I15" s="9"/>
      <c r="J15" s="8">
        <v>16.600000000000001</v>
      </c>
      <c r="K15" s="68"/>
      <c r="L15" s="8">
        <v>233</v>
      </c>
      <c r="M15" s="8">
        <v>7.02</v>
      </c>
      <c r="N15" s="9">
        <v>0.3</v>
      </c>
      <c r="O15" s="29">
        <v>366</v>
      </c>
      <c r="P15" s="30">
        <v>12553</v>
      </c>
      <c r="Q15" s="30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9"/>
      <c r="BX15" s="9"/>
      <c r="BY15" s="9"/>
      <c r="BZ15" s="9"/>
      <c r="CA15" s="9"/>
      <c r="CB15" s="9"/>
      <c r="CC15" s="9"/>
      <c r="CD15" s="9">
        <v>17.5</v>
      </c>
      <c r="CE15" s="9">
        <v>5</v>
      </c>
      <c r="CF15" s="30">
        <v>-18</v>
      </c>
      <c r="CG15" s="8"/>
      <c r="CH15" s="10"/>
      <c r="CI15" s="9"/>
      <c r="CJ15" s="10"/>
      <c r="CK15" s="32"/>
      <c r="CL15" s="32"/>
      <c r="CM15" s="32"/>
      <c r="CN15" s="31"/>
      <c r="CO15" s="10"/>
      <c r="CP15" s="10"/>
      <c r="CQ15" s="8"/>
      <c r="CR15" s="9"/>
      <c r="CS15" s="9"/>
      <c r="CT15" s="9"/>
      <c r="CU15" s="9"/>
      <c r="CV15" s="9"/>
    </row>
    <row r="16" spans="1:100" x14ac:dyDescent="0.4">
      <c r="A16" s="26">
        <v>3</v>
      </c>
      <c r="B16" s="40" t="s">
        <v>111</v>
      </c>
      <c r="C16" s="69" t="s">
        <v>112</v>
      </c>
      <c r="D16" s="26" t="s">
        <v>399</v>
      </c>
      <c r="E16" s="76">
        <v>45.005611111111108</v>
      </c>
      <c r="F16" s="42">
        <v>37.723722222222221</v>
      </c>
      <c r="G16" s="8">
        <v>131</v>
      </c>
      <c r="H16" s="41">
        <v>39997</v>
      </c>
      <c r="I16" s="9"/>
      <c r="J16" s="8">
        <v>25.3</v>
      </c>
      <c r="K16" s="68"/>
      <c r="L16" s="8"/>
      <c r="M16" s="8"/>
      <c r="N16" s="9">
        <v>0.6</v>
      </c>
      <c r="O16" s="29">
        <v>366</v>
      </c>
      <c r="P16" s="30">
        <v>14326</v>
      </c>
      <c r="Q16" s="30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9"/>
      <c r="BX16" s="9"/>
      <c r="BY16" s="9"/>
      <c r="BZ16" s="9"/>
      <c r="CA16" s="9"/>
      <c r="CB16" s="9"/>
      <c r="CC16" s="9"/>
      <c r="CD16" s="9">
        <v>23.7</v>
      </c>
      <c r="CE16" s="9">
        <v>5</v>
      </c>
      <c r="CF16" s="30">
        <v>-19</v>
      </c>
      <c r="CG16" s="8"/>
      <c r="CH16" s="10"/>
      <c r="CI16" s="9"/>
      <c r="CJ16" s="10"/>
      <c r="CK16" s="32"/>
      <c r="CL16" s="32"/>
      <c r="CM16" s="32"/>
      <c r="CN16" s="31"/>
      <c r="CO16" s="10"/>
      <c r="CP16" s="10"/>
      <c r="CQ16" s="8"/>
      <c r="CR16" s="9"/>
      <c r="CS16" s="9"/>
      <c r="CT16" s="9"/>
      <c r="CU16" s="9"/>
      <c r="CV16" s="9"/>
    </row>
    <row r="17" spans="1:100" x14ac:dyDescent="0.4">
      <c r="A17" s="26">
        <v>3</v>
      </c>
      <c r="B17" s="40" t="s">
        <v>113</v>
      </c>
      <c r="C17" s="69" t="s">
        <v>114</v>
      </c>
      <c r="D17" s="26" t="s">
        <v>402</v>
      </c>
      <c r="E17" s="76">
        <v>45.005611111111108</v>
      </c>
      <c r="F17" s="42">
        <v>37.723722222222221</v>
      </c>
      <c r="G17" s="8">
        <v>131</v>
      </c>
      <c r="H17" s="41">
        <v>39997</v>
      </c>
      <c r="I17" s="9"/>
      <c r="J17" s="8">
        <v>18.899999999999999</v>
      </c>
      <c r="K17" s="68"/>
      <c r="L17" s="8"/>
      <c r="M17" s="8"/>
      <c r="N17" s="9">
        <v>0.3</v>
      </c>
      <c r="O17" s="29">
        <v>366</v>
      </c>
      <c r="P17" s="30">
        <v>14184</v>
      </c>
      <c r="Q17" s="30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9"/>
      <c r="BX17" s="9"/>
      <c r="BY17" s="9"/>
      <c r="BZ17" s="9"/>
      <c r="CA17" s="9"/>
      <c r="CB17" s="9"/>
      <c r="CC17" s="9"/>
      <c r="CD17" s="9">
        <v>6.1</v>
      </c>
      <c r="CE17" s="9">
        <v>5.7</v>
      </c>
      <c r="CF17" s="30">
        <v>-14</v>
      </c>
      <c r="CG17" s="8"/>
      <c r="CH17" s="10"/>
      <c r="CI17" s="9"/>
      <c r="CJ17" s="10"/>
      <c r="CK17" s="32"/>
      <c r="CL17" s="32"/>
      <c r="CM17" s="32"/>
      <c r="CN17" s="31"/>
      <c r="CO17" s="10"/>
      <c r="CP17" s="10"/>
      <c r="CQ17" s="8"/>
      <c r="CR17" s="9"/>
      <c r="CS17" s="9"/>
      <c r="CT17" s="9"/>
      <c r="CU17" s="9"/>
      <c r="CV17" s="9"/>
    </row>
    <row r="18" spans="1:100" x14ac:dyDescent="0.4">
      <c r="A18" s="26">
        <v>3</v>
      </c>
      <c r="B18" s="40" t="s">
        <v>115</v>
      </c>
      <c r="C18" s="69" t="s">
        <v>116</v>
      </c>
      <c r="D18" s="26" t="s">
        <v>401</v>
      </c>
      <c r="E18" s="76">
        <v>45.005611111111108</v>
      </c>
      <c r="F18" s="42">
        <v>37.723722222222221</v>
      </c>
      <c r="G18" s="8">
        <v>131</v>
      </c>
      <c r="H18" s="41">
        <v>39997</v>
      </c>
      <c r="I18" s="9"/>
      <c r="J18" s="8">
        <v>23.6</v>
      </c>
      <c r="K18" s="68"/>
      <c r="L18" s="8"/>
      <c r="M18" s="8"/>
      <c r="N18" s="9">
        <v>0.4</v>
      </c>
      <c r="O18" s="29">
        <v>183</v>
      </c>
      <c r="P18" s="30">
        <v>13475</v>
      </c>
      <c r="Q18" s="30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9"/>
      <c r="BX18" s="9"/>
      <c r="BY18" s="9"/>
      <c r="BZ18" s="9"/>
      <c r="CA18" s="9"/>
      <c r="CB18" s="9"/>
      <c r="CC18" s="9"/>
      <c r="CD18" s="9">
        <v>13.4</v>
      </c>
      <c r="CE18" s="9">
        <v>6.1</v>
      </c>
      <c r="CF18" s="30">
        <v>-12</v>
      </c>
      <c r="CG18" s="8"/>
      <c r="CH18" s="10"/>
      <c r="CI18" s="9"/>
      <c r="CJ18" s="10"/>
      <c r="CK18" s="32"/>
      <c r="CL18" s="32"/>
      <c r="CM18" s="32"/>
      <c r="CN18" s="31"/>
      <c r="CO18" s="10"/>
      <c r="CP18" s="10"/>
      <c r="CQ18" s="8"/>
      <c r="CR18" s="9"/>
      <c r="CS18" s="9"/>
      <c r="CT18" s="9"/>
      <c r="CU18" s="9"/>
      <c r="CV18" s="9"/>
    </row>
    <row r="19" spans="1:100" x14ac:dyDescent="0.4">
      <c r="A19" s="26">
        <v>3</v>
      </c>
      <c r="B19" s="40" t="s">
        <v>117</v>
      </c>
      <c r="C19" s="69" t="s">
        <v>118</v>
      </c>
      <c r="D19" s="26" t="s">
        <v>396</v>
      </c>
      <c r="E19" s="76">
        <v>45.005488999999997</v>
      </c>
      <c r="F19" s="42">
        <v>37.723619999999997</v>
      </c>
      <c r="G19" s="30">
        <v>122.212143</v>
      </c>
      <c r="H19" s="41">
        <v>44021</v>
      </c>
      <c r="I19" s="9">
        <f>(O19+P19+Z19/1000+AA19/1000+T19/1000+U19/1000+Y19/1000/32*96)/1000</f>
        <v>27.33012085428571</v>
      </c>
      <c r="J19" s="27">
        <v>19</v>
      </c>
      <c r="K19" s="68">
        <f>2200/(LOG(((U19/1000)^0.5)/(R19/1000000))+5.47)-273</f>
        <v>130.43193696513362</v>
      </c>
      <c r="L19" s="8">
        <v>300</v>
      </c>
      <c r="M19" s="8">
        <v>7.74</v>
      </c>
      <c r="N19" s="109" t="s">
        <v>66</v>
      </c>
      <c r="O19" s="110">
        <v>84.38333333333334</v>
      </c>
      <c r="P19" s="30">
        <v>16126</v>
      </c>
      <c r="Q19" s="30">
        <f>Y19/32*96/1000</f>
        <v>134.37715558789799</v>
      </c>
      <c r="R19" s="30">
        <v>12264548.189325219</v>
      </c>
      <c r="S19" s="30">
        <v>307249.86459054897</v>
      </c>
      <c r="T19" s="30">
        <v>8623137.0370115303</v>
      </c>
      <c r="U19" s="30">
        <v>139228.3587488606</v>
      </c>
      <c r="V19" s="9">
        <v>43.685714285714283</v>
      </c>
      <c r="W19" s="30">
        <v>876.41123911989484</v>
      </c>
      <c r="X19" s="30"/>
      <c r="Y19" s="30">
        <v>44792.385195965995</v>
      </c>
      <c r="Z19" s="30">
        <v>298211.6947046608</v>
      </c>
      <c r="AA19" s="30">
        <v>1924783.274899421</v>
      </c>
      <c r="AB19" s="9"/>
      <c r="AC19" s="9"/>
      <c r="AD19" s="30">
        <v>2021.1396371661519</v>
      </c>
      <c r="AE19" s="30"/>
      <c r="AF19" s="9" t="s">
        <v>95</v>
      </c>
      <c r="AG19" s="9"/>
      <c r="AH19" s="9"/>
      <c r="AI19" s="9"/>
      <c r="AJ19" s="9"/>
      <c r="AK19" s="9"/>
      <c r="AL19" s="30">
        <v>49744.105238095231</v>
      </c>
      <c r="AM19" s="30">
        <v>55694.434688850393</v>
      </c>
      <c r="AN19" s="30">
        <v>3518.1056839596245</v>
      </c>
      <c r="AO19" s="30"/>
      <c r="AP19" s="30">
        <v>2406.5500000000002</v>
      </c>
      <c r="AQ19" s="30"/>
      <c r="AR19" s="30">
        <v>8216.0850000000009</v>
      </c>
      <c r="AS19" s="30">
        <v>120.0197142857143</v>
      </c>
      <c r="AT19" s="30">
        <v>1157.9491477722829</v>
      </c>
      <c r="AU19" s="30"/>
      <c r="AV19" s="30">
        <v>732.75428571428574</v>
      </c>
      <c r="AW19" s="30">
        <v>662371.69440000015</v>
      </c>
      <c r="AX19" s="30">
        <v>364183.22857142857</v>
      </c>
      <c r="AY19" s="30"/>
      <c r="AZ19" s="9">
        <v>30.37142857142857</v>
      </c>
      <c r="BA19" s="9"/>
      <c r="BB19" s="9">
        <v>38.520000000000003</v>
      </c>
      <c r="BC19" s="9"/>
      <c r="BD19" s="9"/>
      <c r="BE19" s="9"/>
      <c r="BF19" s="9"/>
      <c r="BG19" s="9"/>
      <c r="BH19" s="9"/>
      <c r="BI19" s="9"/>
      <c r="BJ19" s="9"/>
      <c r="BK19" s="30"/>
      <c r="BL19" s="30"/>
      <c r="BM19" s="30"/>
      <c r="BN19" s="30"/>
      <c r="BO19" s="30"/>
      <c r="BP19" s="30"/>
      <c r="BQ19" s="30">
        <v>947.10878571428566</v>
      </c>
      <c r="BR19" s="30"/>
      <c r="BS19" s="30"/>
      <c r="BT19" s="30"/>
      <c r="BU19" s="30">
        <v>1149.6308571428572</v>
      </c>
      <c r="BV19" s="30"/>
      <c r="BW19" s="9">
        <f t="shared" ref="BW19:BW24" si="4">O19/61/(O19/61+P19/35.5+Q19/96*2)*100</f>
        <v>0.30175034052804739</v>
      </c>
      <c r="BX19" s="9">
        <f t="shared" ref="BX19:BX24" si="5">P19/35.5/(O19/61+P19/35.5+Q19/96*2)*100</f>
        <v>99.087581700769562</v>
      </c>
      <c r="BY19" s="9">
        <f t="shared" ref="BY19:BY24" si="6">Q19/96*2/(O19/61+P19/35.5+Q19/96*2)*100</f>
        <v>0.61066795870238888</v>
      </c>
      <c r="BZ19" s="9">
        <f>T19/23/(T19/23+U19/24.31*2+AA19/40.08*2)*100</f>
        <v>77.716228036706809</v>
      </c>
      <c r="CA19" s="9">
        <f>AA19/40.08*2/(T19/23+U19/24.31*2+AA19/40.08*2)*100</f>
        <v>19.909409583671405</v>
      </c>
      <c r="CB19" s="9">
        <f>U19/24.31*2/(T19/23+U19/24.31*2+AA19/40.08*2)*100</f>
        <v>2.3743623796217781</v>
      </c>
      <c r="CC19" s="9"/>
      <c r="CD19" s="111">
        <v>-0.3</v>
      </c>
      <c r="CE19" s="112">
        <v>1.8</v>
      </c>
      <c r="CF19" s="113">
        <v>-5</v>
      </c>
      <c r="CG19" s="30"/>
      <c r="CH19" s="8">
        <v>95.51</v>
      </c>
      <c r="CI19" s="10">
        <v>0.57999999999999996</v>
      </c>
      <c r="CJ19" s="31">
        <v>9.1450000000000004E-2</v>
      </c>
      <c r="CK19" s="8"/>
      <c r="CL19" s="8"/>
      <c r="CM19" s="8">
        <v>5.5E-2</v>
      </c>
      <c r="CN19" s="8"/>
      <c r="CO19" s="8">
        <v>3.4830000000000001</v>
      </c>
      <c r="CP19" s="10">
        <f>SUM(CH19:CO19)</f>
        <v>99.719450000000009</v>
      </c>
      <c r="CQ19" s="9"/>
      <c r="CR19" s="9"/>
      <c r="CS19" s="63">
        <v>-33.6</v>
      </c>
      <c r="CT19" s="9"/>
      <c r="CU19" s="9"/>
      <c r="CV19" s="9"/>
    </row>
    <row r="20" spans="1:100" x14ac:dyDescent="0.4">
      <c r="A20" s="26">
        <v>3</v>
      </c>
      <c r="B20" s="40" t="s">
        <v>119</v>
      </c>
      <c r="C20" s="69" t="s">
        <v>120</v>
      </c>
      <c r="D20" s="26" t="s">
        <v>400</v>
      </c>
      <c r="E20" s="76">
        <v>45.005488999999997</v>
      </c>
      <c r="F20" s="42">
        <v>37.723619999999997</v>
      </c>
      <c r="G20" s="30">
        <v>122.212143</v>
      </c>
      <c r="H20" s="41">
        <v>44021</v>
      </c>
      <c r="I20" s="9">
        <f>(O20+P20+Z20/1000+AA20/1000+T20/1000+U20/1000+Y20/1000/32*96)/1000</f>
        <v>22.348273567917602</v>
      </c>
      <c r="J20" s="27">
        <v>19</v>
      </c>
      <c r="K20" s="68">
        <f>2200/(LOG(((U20/1000)^0.5)/(R20/1000000))+5.47)-273</f>
        <v>129.27640307396291</v>
      </c>
      <c r="L20" s="8">
        <v>50</v>
      </c>
      <c r="M20" s="8">
        <v>7.71</v>
      </c>
      <c r="N20" s="109" t="s">
        <v>66</v>
      </c>
      <c r="O20" s="110">
        <v>94.55</v>
      </c>
      <c r="P20" s="30">
        <v>13331</v>
      </c>
      <c r="Q20" s="30">
        <f>Y20/32*96/1000</f>
        <v>37.995391995070314</v>
      </c>
      <c r="R20" s="30">
        <v>10192652.62675152</v>
      </c>
      <c r="S20" s="30">
        <v>280000.24117218092</v>
      </c>
      <c r="T20" s="30">
        <v>7023455.109489711</v>
      </c>
      <c r="U20" s="30">
        <v>103354.07618598429</v>
      </c>
      <c r="V20" s="30">
        <v>112.08571428571429</v>
      </c>
      <c r="W20" s="30">
        <v>2524.1382494862974</v>
      </c>
      <c r="X20" s="30"/>
      <c r="Y20" s="30">
        <v>12665.130665023436</v>
      </c>
      <c r="Z20" s="30">
        <v>253384.28113397761</v>
      </c>
      <c r="AA20" s="30">
        <v>1504534.7091128572</v>
      </c>
      <c r="AB20" s="9">
        <v>15.348336037217251</v>
      </c>
      <c r="AC20" s="9"/>
      <c r="AD20" s="30">
        <v>584.31428571428569</v>
      </c>
      <c r="AE20" s="30"/>
      <c r="AF20" s="9"/>
      <c r="AG20" s="9"/>
      <c r="AH20" s="9"/>
      <c r="AI20" s="9"/>
      <c r="AJ20" s="9"/>
      <c r="AK20" s="9"/>
      <c r="AL20" s="30">
        <v>46444.105238095231</v>
      </c>
      <c r="AM20" s="30">
        <v>49063.632744925198</v>
      </c>
      <c r="AN20" s="30">
        <v>9096.8592691279537</v>
      </c>
      <c r="AO20" s="30"/>
      <c r="AP20" s="30">
        <v>1025.75</v>
      </c>
      <c r="AQ20" s="30"/>
      <c r="AR20" s="30">
        <v>2995.4849999999997</v>
      </c>
      <c r="AS20" s="30">
        <v>166.74171428571429</v>
      </c>
      <c r="AT20" s="30">
        <v>417.08366706032911</v>
      </c>
      <c r="AU20" s="30"/>
      <c r="AV20" s="30">
        <v>604.08000000000004</v>
      </c>
      <c r="AW20" s="30">
        <v>580835.69440000004</v>
      </c>
      <c r="AX20" s="30">
        <v>337823.22857142857</v>
      </c>
      <c r="AY20" s="30"/>
      <c r="AZ20" s="9">
        <v>79.971428571428589</v>
      </c>
      <c r="BA20" s="9"/>
      <c r="BB20" s="9"/>
      <c r="BC20" s="9">
        <v>59.425714285714292</v>
      </c>
      <c r="BD20" s="9"/>
      <c r="BE20" s="30">
        <v>126.19999999999999</v>
      </c>
      <c r="BF20" s="9"/>
      <c r="BG20" s="9"/>
      <c r="BH20" s="9"/>
      <c r="BI20" s="9"/>
      <c r="BJ20" s="9"/>
      <c r="BK20" s="30"/>
      <c r="BL20" s="30"/>
      <c r="BM20" s="30"/>
      <c r="BN20" s="30"/>
      <c r="BO20" s="30"/>
      <c r="BP20" s="30"/>
      <c r="BQ20" s="30">
        <v>562.25878571428575</v>
      </c>
      <c r="BR20" s="30"/>
      <c r="BS20" s="30"/>
      <c r="BT20" s="30"/>
      <c r="BU20" s="30">
        <v>544.76685714285713</v>
      </c>
      <c r="BV20" s="30"/>
      <c r="BW20" s="9">
        <f t="shared" si="4"/>
        <v>0.41020190946446228</v>
      </c>
      <c r="BX20" s="9">
        <f t="shared" si="5"/>
        <v>99.380311768664171</v>
      </c>
      <c r="BY20" s="9">
        <f t="shared" si="6"/>
        <v>0.20948632187135197</v>
      </c>
      <c r="BZ20" s="9">
        <f>T20/23/(T20/23+U20/24.31*2+AA20/40.08*2)*100</f>
        <v>78.511327402113366</v>
      </c>
      <c r="CA20" s="9">
        <f>AA20/40.08*2/(T20/23+U20/24.31*2+AA20/40.08*2)*100</f>
        <v>19.302512358053487</v>
      </c>
      <c r="CB20" s="9">
        <f>U20/24.31*2/(T20/23+U20/24.31*2+AA20/40.08*2)*100</f>
        <v>2.1861602398331419</v>
      </c>
      <c r="CC20" s="9"/>
      <c r="CD20" s="111">
        <v>31.5</v>
      </c>
      <c r="CE20" s="112">
        <v>5.8</v>
      </c>
      <c r="CF20" s="113">
        <v>-12</v>
      </c>
      <c r="CG20" s="30"/>
      <c r="CH20" s="8"/>
      <c r="CI20" s="10"/>
      <c r="CJ20" s="8"/>
      <c r="CK20" s="8"/>
      <c r="CL20" s="8"/>
      <c r="CM20" s="8"/>
      <c r="CN20" s="8"/>
      <c r="CO20" s="8"/>
      <c r="CP20" s="8"/>
      <c r="CQ20" s="9"/>
      <c r="CR20" s="9"/>
      <c r="CS20" s="63">
        <v>-32.6</v>
      </c>
      <c r="CT20" s="9"/>
      <c r="CU20" s="9"/>
      <c r="CV20" s="9"/>
    </row>
    <row r="21" spans="1:100" x14ac:dyDescent="0.4">
      <c r="A21" s="26">
        <v>3</v>
      </c>
      <c r="B21" s="40" t="s">
        <v>121</v>
      </c>
      <c r="C21" s="69" t="s">
        <v>122</v>
      </c>
      <c r="D21" s="26" t="s">
        <v>397</v>
      </c>
      <c r="E21" s="76">
        <v>45.006610000000002</v>
      </c>
      <c r="F21" s="42">
        <v>37.723337999999998</v>
      </c>
      <c r="G21" s="30">
        <v>119.972137</v>
      </c>
      <c r="H21" s="41">
        <v>44021</v>
      </c>
      <c r="I21" s="9">
        <f>(O21+P21+Z21/1000+AA21/1000+T21/1000+U21/1000+Y21/1000/32*96)/1000</f>
        <v>19.805637549913886</v>
      </c>
      <c r="J21" s="27">
        <v>20</v>
      </c>
      <c r="K21" s="68">
        <f>2200/(LOG(((U21/1000)^0.5)/(R21/1000000))+5.47)-273</f>
        <v>122.82156022135786</v>
      </c>
      <c r="L21" s="8"/>
      <c r="M21" s="8"/>
      <c r="N21" s="109" t="s">
        <v>66</v>
      </c>
      <c r="O21" s="110">
        <v>127.08333333333334</v>
      </c>
      <c r="P21" s="30">
        <v>11834</v>
      </c>
      <c r="Q21" s="30"/>
      <c r="R21" s="30">
        <v>7883925.5833355999</v>
      </c>
      <c r="S21" s="30">
        <v>271432.78337900667</v>
      </c>
      <c r="T21" s="30">
        <v>6175283.7363096401</v>
      </c>
      <c r="U21" s="30">
        <v>93240.614828074904</v>
      </c>
      <c r="V21" s="9">
        <v>96.165714285714273</v>
      </c>
      <c r="W21" s="30">
        <v>3338.8590030706719</v>
      </c>
      <c r="X21" s="9"/>
      <c r="Y21" s="30"/>
      <c r="Z21" s="30">
        <v>240153.67164564884</v>
      </c>
      <c r="AA21" s="30">
        <v>1335876.1937971853</v>
      </c>
      <c r="AB21" s="9"/>
      <c r="AC21" s="9"/>
      <c r="AD21" s="30">
        <v>362.01428571428573</v>
      </c>
      <c r="AE21" s="30"/>
      <c r="AF21" s="9"/>
      <c r="AG21" s="9"/>
      <c r="AH21" s="9"/>
      <c r="AI21" s="9"/>
      <c r="AJ21" s="9">
        <v>5.5914285714285707</v>
      </c>
      <c r="AK21" s="9"/>
      <c r="AL21" s="30">
        <v>41278.105238095231</v>
      </c>
      <c r="AM21" s="30">
        <v>42234.033717111</v>
      </c>
      <c r="AN21" s="30">
        <v>11032.575181720564</v>
      </c>
      <c r="AO21" s="9"/>
      <c r="AP21" s="30">
        <v>1480.5500000000002</v>
      </c>
      <c r="AQ21" s="9"/>
      <c r="AR21" s="30">
        <v>549.08500000000004</v>
      </c>
      <c r="AS21" s="30">
        <v>170.55471428571414</v>
      </c>
      <c r="AT21" s="30">
        <v>468.42283606834405</v>
      </c>
      <c r="AU21" s="9"/>
      <c r="AV21" s="30">
        <v>363.75428571428569</v>
      </c>
      <c r="AW21" s="30">
        <v>586867.69440000004</v>
      </c>
      <c r="AX21" s="30">
        <v>306983.22857142857</v>
      </c>
      <c r="AY21" s="9"/>
      <c r="AZ21" s="9">
        <v>59.871428571428595</v>
      </c>
      <c r="BA21" s="9"/>
      <c r="BB21" s="9"/>
      <c r="BC21" s="9">
        <v>58.56</v>
      </c>
      <c r="BD21" s="9"/>
      <c r="BE21" s="9">
        <v>40.399999999999991</v>
      </c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9"/>
      <c r="BT21" s="9"/>
      <c r="BU21" s="9">
        <v>62.39405714285715</v>
      </c>
      <c r="BV21" s="9"/>
      <c r="BW21" s="9">
        <f t="shared" si="4"/>
        <v>0.62108323915028829</v>
      </c>
      <c r="BX21" s="9">
        <f t="shared" si="5"/>
        <v>99.378916760849719</v>
      </c>
      <c r="BY21" s="9">
        <f t="shared" si="6"/>
        <v>0</v>
      </c>
      <c r="BZ21" s="9">
        <f>T21/23/(T21/23+U21/24.31*2+AA21/40.08*2)*100</f>
        <v>78.3177727980583</v>
      </c>
      <c r="CA21" s="9">
        <f>AA21/40.08*2/(T21/23+U21/24.31*2+AA21/40.08*2)*100</f>
        <v>19.444632562305696</v>
      </c>
      <c r="CB21" s="9">
        <f>U21/24.31*2/(T21/23+U21/24.31*2+AA21/40.08*2)*100</f>
        <v>2.2375946396360202</v>
      </c>
      <c r="CC21" s="9"/>
      <c r="CD21" s="111">
        <v>23.3</v>
      </c>
      <c r="CE21" s="112">
        <v>5</v>
      </c>
      <c r="CF21" s="113">
        <v>-1</v>
      </c>
      <c r="CG21" s="9"/>
      <c r="CH21" s="62">
        <v>92.66</v>
      </c>
      <c r="CI21" s="114">
        <v>0.46899999999999997</v>
      </c>
      <c r="CJ21" s="62">
        <v>0.1082</v>
      </c>
      <c r="CK21" s="62">
        <v>2.0820000000000002E-2</v>
      </c>
      <c r="CL21" s="62"/>
      <c r="CM21" s="62">
        <v>0.10009999999999999</v>
      </c>
      <c r="CN21" s="8"/>
      <c r="CO21" s="62">
        <v>6.8029999999999999</v>
      </c>
      <c r="CP21" s="10">
        <f>SUM(CH21:CO21)</f>
        <v>100.16111999999998</v>
      </c>
      <c r="CQ21" s="9"/>
      <c r="CR21" s="9"/>
      <c r="CS21" s="9"/>
      <c r="CT21" s="9"/>
      <c r="CU21" s="9"/>
      <c r="CV21" s="9"/>
    </row>
    <row r="22" spans="1:100" x14ac:dyDescent="0.4">
      <c r="A22" s="26">
        <v>4</v>
      </c>
      <c r="B22" s="40" t="s">
        <v>123</v>
      </c>
      <c r="C22" s="71" t="s">
        <v>124</v>
      </c>
      <c r="D22" s="120" t="s">
        <v>403</v>
      </c>
      <c r="E22" s="76">
        <v>45.070583333333339</v>
      </c>
      <c r="F22" s="42">
        <v>37.610416666666666</v>
      </c>
      <c r="G22" s="8">
        <v>148</v>
      </c>
      <c r="H22" s="41">
        <v>37126</v>
      </c>
      <c r="I22" s="9">
        <f>(O22+P22+Z22/1000+AA22/1000+T22/1000+U22/1000+Y22/1000/32*96)/1000</f>
        <v>19.21412652321844</v>
      </c>
      <c r="J22" s="8"/>
      <c r="K22" s="68">
        <f>2200/(LOG(((U22/1000)^0.5)/(R22/1000000))+5.47)-273</f>
        <v>128.01064356241801</v>
      </c>
      <c r="L22" s="8"/>
      <c r="M22" s="27">
        <v>7.41</v>
      </c>
      <c r="N22" s="9">
        <v>1</v>
      </c>
      <c r="O22" s="29">
        <v>4748.8</v>
      </c>
      <c r="P22" s="30">
        <v>8094</v>
      </c>
      <c r="Q22" s="30">
        <f>Y22/32*96/1000</f>
        <v>6.5250651984931913</v>
      </c>
      <c r="R22" s="30">
        <v>7744480</v>
      </c>
      <c r="S22" s="30">
        <v>483918.5864459853</v>
      </c>
      <c r="T22" s="30">
        <v>6188000</v>
      </c>
      <c r="U22" s="30">
        <v>64604.366382595712</v>
      </c>
      <c r="V22" s="30">
        <v>166.09761962010097</v>
      </c>
      <c r="W22" s="30">
        <v>16546.583850931675</v>
      </c>
      <c r="X22" s="30" t="s">
        <v>94</v>
      </c>
      <c r="Y22" s="30">
        <v>2175.0217328310637</v>
      </c>
      <c r="Z22" s="30">
        <v>72333</v>
      </c>
      <c r="AA22" s="30">
        <v>39864.091637348552</v>
      </c>
      <c r="AB22" s="9">
        <v>7.5372972972972985</v>
      </c>
      <c r="AC22" s="30" t="s">
        <v>73</v>
      </c>
      <c r="AD22" s="30">
        <v>19.760000000000002</v>
      </c>
      <c r="AE22" s="30">
        <v>221.06703146374829</v>
      </c>
      <c r="AF22" s="9">
        <v>2.2159622309828402</v>
      </c>
      <c r="AG22" s="9">
        <v>18.140991391904468</v>
      </c>
      <c r="AH22" s="30" t="s">
        <v>97</v>
      </c>
      <c r="AI22" s="9" t="s">
        <v>125</v>
      </c>
      <c r="AJ22" s="30" t="s">
        <v>71</v>
      </c>
      <c r="AK22" s="30">
        <v>79.818606541685128</v>
      </c>
      <c r="AL22" s="30">
        <v>41759.496439132461</v>
      </c>
      <c r="AM22" s="30">
        <v>16090</v>
      </c>
      <c r="AN22" s="30">
        <v>21170</v>
      </c>
      <c r="AO22" s="9" t="s">
        <v>98</v>
      </c>
      <c r="AP22" s="30">
        <v>9145.4012180446316</v>
      </c>
      <c r="AQ22" s="9" t="s">
        <v>76</v>
      </c>
      <c r="AR22" s="30">
        <v>12632.59375</v>
      </c>
      <c r="AS22" s="9" t="s">
        <v>74</v>
      </c>
      <c r="AT22" s="9" t="s">
        <v>98</v>
      </c>
      <c r="AU22" s="9" t="s">
        <v>99</v>
      </c>
      <c r="AV22" s="9">
        <v>1.5740884337447567</v>
      </c>
      <c r="AW22" s="30">
        <v>58870.526666666679</v>
      </c>
      <c r="AX22" s="30">
        <v>2258.1644474847353</v>
      </c>
      <c r="AY22" s="10" t="s">
        <v>98</v>
      </c>
      <c r="AZ22" s="10" t="s">
        <v>79</v>
      </c>
      <c r="BA22" s="10" t="s">
        <v>77</v>
      </c>
      <c r="BB22" s="10" t="s">
        <v>100</v>
      </c>
      <c r="BC22" s="10" t="s">
        <v>101</v>
      </c>
      <c r="BD22" s="10" t="s">
        <v>102</v>
      </c>
      <c r="BE22" s="10" t="s">
        <v>103</v>
      </c>
      <c r="BF22" s="10" t="s">
        <v>80</v>
      </c>
      <c r="BG22" s="10" t="s">
        <v>104</v>
      </c>
      <c r="BH22" s="10" t="s">
        <v>80</v>
      </c>
      <c r="BI22" s="10" t="s">
        <v>79</v>
      </c>
      <c r="BJ22" s="10" t="s">
        <v>80</v>
      </c>
      <c r="BK22" s="10" t="s">
        <v>104</v>
      </c>
      <c r="BL22" s="10" t="s">
        <v>77</v>
      </c>
      <c r="BM22" s="31" t="s">
        <v>69</v>
      </c>
      <c r="BN22" s="10" t="s">
        <v>69</v>
      </c>
      <c r="BO22" s="31" t="s">
        <v>76</v>
      </c>
      <c r="BP22" s="31" t="s">
        <v>69</v>
      </c>
      <c r="BQ22" s="10" t="s">
        <v>79</v>
      </c>
      <c r="BR22" s="10" t="s">
        <v>105</v>
      </c>
      <c r="BS22" s="10" t="s">
        <v>81</v>
      </c>
      <c r="BT22" s="10" t="s">
        <v>126</v>
      </c>
      <c r="BU22" s="30">
        <v>653.15</v>
      </c>
      <c r="BV22" s="30"/>
      <c r="BW22" s="9">
        <f t="shared" si="4"/>
        <v>25.442145858244501</v>
      </c>
      <c r="BX22" s="9">
        <f t="shared" si="5"/>
        <v>74.513427517786496</v>
      </c>
      <c r="BY22" s="9">
        <f t="shared" si="6"/>
        <v>4.4426623969001613E-2</v>
      </c>
      <c r="BZ22" s="9">
        <f>T22/23/(T22/23+U22/24.31*2+AA22/40.08*2)*100</f>
        <v>97.356855375956982</v>
      </c>
      <c r="CA22" s="9">
        <f>AA22/40.08*2/(T22/23+U22/24.31*2+AA22/40.08*2)*100</f>
        <v>0.71982715158982702</v>
      </c>
      <c r="CB22" s="9">
        <f>U22/24.31*2/(T22/23+U22/24.31*2+AA22/40.08*2)*100</f>
        <v>1.9233174724531696</v>
      </c>
      <c r="CC22" s="9"/>
      <c r="CD22" s="8"/>
      <c r="CE22" s="9">
        <v>10.015753906578334</v>
      </c>
      <c r="CF22" s="30">
        <v>-22.505629856175766</v>
      </c>
      <c r="CG22" s="30"/>
      <c r="CH22" s="8">
        <v>94.07</v>
      </c>
      <c r="CI22" s="8">
        <v>5.45</v>
      </c>
      <c r="CJ22" s="8"/>
      <c r="CK22" s="31"/>
      <c r="CL22" s="31"/>
      <c r="CM22" s="31"/>
      <c r="CN22" s="8">
        <v>1E-3</v>
      </c>
      <c r="CO22" s="8">
        <v>0.48</v>
      </c>
      <c r="CP22" s="10">
        <f>SUM(CH22:CO22)</f>
        <v>100.001</v>
      </c>
      <c r="CQ22" s="8"/>
      <c r="CR22" s="9"/>
      <c r="CS22" s="9">
        <v>-40.075000000000003</v>
      </c>
      <c r="CT22" s="9">
        <v>8.6</v>
      </c>
      <c r="CU22" s="9"/>
      <c r="CV22" s="9"/>
    </row>
    <row r="23" spans="1:100" x14ac:dyDescent="0.4">
      <c r="A23" s="26">
        <v>4</v>
      </c>
      <c r="B23" s="40" t="s">
        <v>127</v>
      </c>
      <c r="C23" s="71" t="s">
        <v>124</v>
      </c>
      <c r="D23" s="120" t="s">
        <v>403</v>
      </c>
      <c r="E23" s="76">
        <v>45.070583333333339</v>
      </c>
      <c r="F23" s="42">
        <v>37.610416666666666</v>
      </c>
      <c r="G23" s="8">
        <v>148</v>
      </c>
      <c r="H23" s="41">
        <v>39997</v>
      </c>
      <c r="I23" s="9">
        <f>(O23+P23+Z23/1000+AA23/1000+T23/1000+U23/1000+Y23/1000/32*96)/1000</f>
        <v>17.356772752858195</v>
      </c>
      <c r="J23" s="27">
        <v>21</v>
      </c>
      <c r="K23" s="68">
        <f>2200/(LOG(((U23/1000)^0.5)/(R23/1000000))+5.47)-273</f>
        <v>137.0322525415973</v>
      </c>
      <c r="L23" s="8">
        <v>212</v>
      </c>
      <c r="M23" s="8">
        <v>7.76</v>
      </c>
      <c r="N23" s="9">
        <v>1</v>
      </c>
      <c r="O23" s="29">
        <v>3538</v>
      </c>
      <c r="P23" s="30">
        <v>7801</v>
      </c>
      <c r="Q23" s="30">
        <f>Y23/32*96/1000</f>
        <v>119.84947497284341</v>
      </c>
      <c r="R23" s="30">
        <v>11177276.912392342</v>
      </c>
      <c r="S23" s="30">
        <v>561267.63876375626</v>
      </c>
      <c r="T23" s="30">
        <v>5725033.5238901824</v>
      </c>
      <c r="U23" s="30">
        <v>77185.406835782196</v>
      </c>
      <c r="V23" s="30"/>
      <c r="W23" s="30">
        <v>18235.942729074035</v>
      </c>
      <c r="X23" s="30"/>
      <c r="Y23" s="30">
        <v>39949.824990947804</v>
      </c>
      <c r="Z23" s="30">
        <v>65926.964885681678</v>
      </c>
      <c r="AA23" s="30">
        <v>29777.38227370294</v>
      </c>
      <c r="AB23" s="30"/>
      <c r="AC23" s="30"/>
      <c r="AD23" s="9">
        <v>25.023759999999999</v>
      </c>
      <c r="AE23" s="30">
        <v>1061.5714206221137</v>
      </c>
      <c r="AF23" s="30"/>
      <c r="AG23" s="30"/>
      <c r="AH23" s="9"/>
      <c r="AI23" s="9"/>
      <c r="AJ23" s="9"/>
      <c r="AK23" s="9">
        <v>33.947906725888075</v>
      </c>
      <c r="AL23" s="30">
        <v>27437.840199999999</v>
      </c>
      <c r="AM23" s="30">
        <v>12369.615319650289</v>
      </c>
      <c r="AN23" s="30">
        <v>1743.1352494642349</v>
      </c>
      <c r="AO23" s="30"/>
      <c r="AP23" s="30">
        <v>3517.6506666666664</v>
      </c>
      <c r="AQ23" s="30"/>
      <c r="AR23" s="30">
        <v>11590.004156862744</v>
      </c>
      <c r="AS23" s="30"/>
      <c r="AT23" s="8"/>
      <c r="AU23" s="30"/>
      <c r="AV23" s="30"/>
      <c r="AW23" s="30">
        <v>40698.694095238097</v>
      </c>
      <c r="AX23" s="30">
        <v>1443.2189473684209</v>
      </c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>
        <v>1947.3917714285717</v>
      </c>
      <c r="BV23" s="30"/>
      <c r="BW23" s="9">
        <f t="shared" si="4"/>
        <v>20.696298935249519</v>
      </c>
      <c r="BX23" s="9">
        <f t="shared" si="5"/>
        <v>78.412738219466476</v>
      </c>
      <c r="BY23" s="9">
        <f t="shared" si="6"/>
        <v>0.89096284528400593</v>
      </c>
      <c r="BZ23" s="9">
        <f>T23/23/(T23/23+U23/24.31*2+AA23/40.08*2)*100</f>
        <v>96.948012685419044</v>
      </c>
      <c r="CA23" s="9">
        <f>AA23/40.08*2/(T23/23+U23/24.31*2+AA23/40.08*2)*100</f>
        <v>0.57873202057362205</v>
      </c>
      <c r="CB23" s="9">
        <f>U23/24.31*2/(T23/23+U23/24.31*2+AA23/40.08*2)*100</f>
        <v>2.4732552940073376</v>
      </c>
      <c r="CC23" s="9"/>
      <c r="CD23" s="8">
        <v>33.1</v>
      </c>
      <c r="CE23" s="9">
        <v>5.2</v>
      </c>
      <c r="CF23" s="30">
        <v>-31</v>
      </c>
      <c r="CG23" s="30"/>
      <c r="CH23" s="10">
        <v>91.236000000000004</v>
      </c>
      <c r="CI23" s="9">
        <v>4.5122999999999998</v>
      </c>
      <c r="CJ23" s="32">
        <v>3.1421999999999999E-3</v>
      </c>
      <c r="CK23" s="32"/>
      <c r="CL23" s="32"/>
      <c r="CM23" s="32"/>
      <c r="CN23" s="31">
        <v>2.3220999999999999E-2</v>
      </c>
      <c r="CO23" s="10">
        <v>1.4945999999999999</v>
      </c>
      <c r="CP23" s="10">
        <v>97.269000000000005</v>
      </c>
      <c r="CQ23" s="8"/>
      <c r="CR23" s="118">
        <v>-3.56</v>
      </c>
      <c r="CS23" s="121">
        <v>-46.9</v>
      </c>
      <c r="CT23" s="121">
        <v>-2.1</v>
      </c>
      <c r="CU23" s="9"/>
      <c r="CV23" s="119">
        <v>-186.68</v>
      </c>
    </row>
    <row r="24" spans="1:100" x14ac:dyDescent="0.4">
      <c r="A24" s="26">
        <v>4</v>
      </c>
      <c r="B24" s="40" t="s">
        <v>128</v>
      </c>
      <c r="C24" s="71" t="s">
        <v>124</v>
      </c>
      <c r="D24" s="120" t="s">
        <v>403</v>
      </c>
      <c r="E24" s="76">
        <v>45.070583333333339</v>
      </c>
      <c r="F24" s="42">
        <v>37.610416666666666</v>
      </c>
      <c r="G24" s="8">
        <v>148</v>
      </c>
      <c r="H24" s="41">
        <v>39997</v>
      </c>
      <c r="I24" s="9"/>
      <c r="J24" s="8"/>
      <c r="K24" s="68"/>
      <c r="L24" s="8">
        <v>211</v>
      </c>
      <c r="M24" s="8">
        <v>7.54</v>
      </c>
      <c r="N24" s="9">
        <v>0.9</v>
      </c>
      <c r="O24" s="29">
        <v>3294</v>
      </c>
      <c r="P24" s="30">
        <v>16524</v>
      </c>
      <c r="Q24" s="30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9">
        <f t="shared" si="4"/>
        <v>10.395314787701318</v>
      </c>
      <c r="BX24" s="9">
        <f t="shared" si="5"/>
        <v>89.604685212298691</v>
      </c>
      <c r="BY24" s="9">
        <f t="shared" si="6"/>
        <v>0</v>
      </c>
      <c r="BZ24" s="9"/>
      <c r="CA24" s="9"/>
      <c r="CB24" s="9"/>
      <c r="CC24" s="9"/>
      <c r="CD24" s="8">
        <v>30.4</v>
      </c>
      <c r="CE24" s="9">
        <v>5.6</v>
      </c>
      <c r="CF24" s="30">
        <v>-32</v>
      </c>
      <c r="CG24" s="8"/>
      <c r="CH24" s="10"/>
      <c r="CI24" s="9"/>
      <c r="CJ24" s="10"/>
      <c r="CK24" s="32"/>
      <c r="CL24" s="32"/>
      <c r="CM24" s="32"/>
      <c r="CN24" s="31"/>
      <c r="CO24" s="10"/>
      <c r="CP24" s="10"/>
      <c r="CQ24" s="8"/>
      <c r="CR24" s="9"/>
      <c r="CS24" s="9"/>
      <c r="CT24" s="9"/>
      <c r="CU24" s="9"/>
      <c r="CV24" s="9"/>
    </row>
    <row r="25" spans="1:100" x14ac:dyDescent="0.4">
      <c r="A25" s="26">
        <v>4</v>
      </c>
      <c r="B25" s="40" t="s">
        <v>129</v>
      </c>
      <c r="C25" s="71" t="s">
        <v>124</v>
      </c>
      <c r="D25" s="120" t="s">
        <v>403</v>
      </c>
      <c r="E25" s="76">
        <v>45.070583333333339</v>
      </c>
      <c r="F25" s="42">
        <v>37.610416666666666</v>
      </c>
      <c r="G25" s="8">
        <v>148</v>
      </c>
      <c r="H25" s="41">
        <v>39997</v>
      </c>
      <c r="I25" s="9"/>
      <c r="J25" s="8">
        <v>24</v>
      </c>
      <c r="K25" s="68"/>
      <c r="L25" s="8"/>
      <c r="M25" s="8"/>
      <c r="N25" s="9"/>
      <c r="O25" s="29"/>
      <c r="P25" s="30"/>
      <c r="Q25" s="30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9"/>
      <c r="BX25" s="9"/>
      <c r="BY25" s="9"/>
      <c r="BZ25" s="9"/>
      <c r="CA25" s="9"/>
      <c r="CB25" s="9"/>
      <c r="CC25" s="9"/>
      <c r="CD25" s="8">
        <v>4.0999999999999996</v>
      </c>
      <c r="CE25" s="9">
        <v>4.9000000000000004</v>
      </c>
      <c r="CF25" s="30">
        <v>-34</v>
      </c>
      <c r="CG25" s="8"/>
      <c r="CH25" s="10"/>
      <c r="CI25" s="9"/>
      <c r="CJ25" s="10"/>
      <c r="CK25" s="32"/>
      <c r="CL25" s="32"/>
      <c r="CM25" s="32"/>
      <c r="CN25" s="31"/>
      <c r="CO25" s="10"/>
      <c r="CP25" s="10"/>
      <c r="CQ25" s="8"/>
      <c r="CR25" s="9"/>
      <c r="CS25" s="9"/>
      <c r="CT25" s="9"/>
      <c r="CU25" s="9"/>
      <c r="CV25" s="9"/>
    </row>
    <row r="26" spans="1:100" x14ac:dyDescent="0.4">
      <c r="A26" s="26">
        <v>4</v>
      </c>
      <c r="B26" s="40" t="s">
        <v>130</v>
      </c>
      <c r="C26" s="71" t="s">
        <v>124</v>
      </c>
      <c r="D26" s="120" t="s">
        <v>403</v>
      </c>
      <c r="E26" s="76">
        <v>45.070414</v>
      </c>
      <c r="F26" s="42">
        <v>37.610717000000001</v>
      </c>
      <c r="G26" s="30">
        <v>138.746307</v>
      </c>
      <c r="H26" s="41">
        <v>44021</v>
      </c>
      <c r="I26" s="8"/>
      <c r="J26" s="27">
        <v>23.8</v>
      </c>
      <c r="K26" s="68">
        <f>2200/(LOG(((U26/1000)^0.5)/(R26/1000000))+5.47)-273</f>
        <v>134.28353821618816</v>
      </c>
      <c r="L26" s="8">
        <v>-11</v>
      </c>
      <c r="M26" s="28">
        <v>7.47</v>
      </c>
      <c r="N26" s="8"/>
      <c r="O26" s="110">
        <v>13900</v>
      </c>
      <c r="P26" s="30"/>
      <c r="Q26" s="30">
        <f>Y26/32*96/1000</f>
        <v>49.407048189647888</v>
      </c>
      <c r="R26" s="30">
        <v>10462716.794006439</v>
      </c>
      <c r="S26" s="30">
        <v>588282.97835480189</v>
      </c>
      <c r="T26" s="30">
        <v>7507519.6449526297</v>
      </c>
      <c r="U26" s="30">
        <v>79904.934202129109</v>
      </c>
      <c r="V26" s="30">
        <v>171.58571428571429</v>
      </c>
      <c r="W26" s="30">
        <v>13558.423567981899</v>
      </c>
      <c r="X26" s="9"/>
      <c r="Y26" s="30">
        <v>16469.016063215964</v>
      </c>
      <c r="Z26" s="30">
        <v>100689.37284376893</v>
      </c>
      <c r="AA26" s="30">
        <v>38545.539328389626</v>
      </c>
      <c r="AB26" s="9"/>
      <c r="AC26" s="9"/>
      <c r="AD26" s="9">
        <v>27.434285714285711</v>
      </c>
      <c r="AE26" s="30">
        <v>925.81751909199511</v>
      </c>
      <c r="AF26" s="9"/>
      <c r="AG26" s="9"/>
      <c r="AH26" s="9"/>
      <c r="AI26" s="9"/>
      <c r="AJ26" s="9"/>
      <c r="AK26" s="9">
        <v>71.60105462987012</v>
      </c>
      <c r="AL26" s="30">
        <v>36798.105238095239</v>
      </c>
      <c r="AM26" s="30">
        <v>18560.21840786326</v>
      </c>
      <c r="AN26" s="30">
        <v>14129.287192870604</v>
      </c>
      <c r="AO26" s="9"/>
      <c r="AP26" s="30">
        <v>3411.1454545454544</v>
      </c>
      <c r="AQ26" s="9"/>
      <c r="AR26" s="30">
        <v>12096.084999999999</v>
      </c>
      <c r="AS26" s="9"/>
      <c r="AT26" s="9"/>
      <c r="AU26" s="30">
        <v>1249.8000000000002</v>
      </c>
      <c r="AV26" s="30">
        <v>1277.2171428571428</v>
      </c>
      <c r="AW26" s="30">
        <v>60336.494400000011</v>
      </c>
      <c r="AX26" s="30">
        <v>1622.0285714285715</v>
      </c>
      <c r="AY26" s="30">
        <v>322.91750877512561</v>
      </c>
      <c r="AZ26" s="30">
        <v>1043.5714285714284</v>
      </c>
      <c r="BA26" s="30">
        <v>117.67142857142858</v>
      </c>
      <c r="BB26" s="30">
        <v>514.96</v>
      </c>
      <c r="BC26" s="30">
        <v>169.69285714285712</v>
      </c>
      <c r="BD26" s="30"/>
      <c r="BE26" s="30">
        <v>131.06</v>
      </c>
      <c r="BF26" s="9"/>
      <c r="BG26" s="9">
        <v>60.622857142857143</v>
      </c>
      <c r="BH26" s="9"/>
      <c r="BI26" s="9">
        <v>24.768571428571427</v>
      </c>
      <c r="BJ26" s="9"/>
      <c r="BK26" s="9">
        <v>38.400000000000006</v>
      </c>
      <c r="BL26" s="9"/>
      <c r="BM26" s="9"/>
      <c r="BN26" s="9"/>
      <c r="BO26" s="9"/>
      <c r="BP26" s="9"/>
      <c r="BQ26" s="9"/>
      <c r="BR26" s="10"/>
      <c r="BS26" s="9"/>
      <c r="BT26" s="9">
        <v>113.08068571428572</v>
      </c>
      <c r="BU26" s="30">
        <v>1447.2788571428573</v>
      </c>
      <c r="BV26" s="30"/>
      <c r="BW26" s="9"/>
      <c r="BX26" s="9"/>
      <c r="BY26" s="9"/>
      <c r="BZ26" s="9">
        <f>T26/23/(T26/23+U26/24.31*2+AA26/40.08*2)*100</f>
        <v>97.462830855201304</v>
      </c>
      <c r="CA26" s="9">
        <f>AA26/40.08*2/(T26/23+U26/24.31*2+AA26/40.08*2)*100</f>
        <v>0.57431054399826542</v>
      </c>
      <c r="CB26" s="9">
        <f>U26/24.31*2/(T26/23+U26/24.31*2+AA26/40.08*2)*100</f>
        <v>1.9628586008004287</v>
      </c>
      <c r="CC26" s="9"/>
      <c r="CD26" s="111">
        <v>26.1</v>
      </c>
      <c r="CE26" s="112">
        <v>9.5</v>
      </c>
      <c r="CF26" s="113">
        <v>-20</v>
      </c>
      <c r="CG26" s="30"/>
      <c r="CH26" s="8">
        <v>89.45</v>
      </c>
      <c r="CI26" s="10">
        <v>5.875</v>
      </c>
      <c r="CJ26" s="8">
        <v>4.0000000000000001E-3</v>
      </c>
      <c r="CK26" s="8">
        <v>2.8000000000000001E-2</v>
      </c>
      <c r="CL26" s="8"/>
      <c r="CM26" s="8">
        <v>1.4999999999999999E-2</v>
      </c>
      <c r="CN26" s="8"/>
      <c r="CO26" s="8">
        <v>4.5460000000000003</v>
      </c>
      <c r="CP26" s="10">
        <f>SUM(CH26:CO26)</f>
        <v>99.918000000000021</v>
      </c>
      <c r="CQ26" s="8"/>
      <c r="CR26" s="9"/>
      <c r="CS26" s="63">
        <v>-34.299999999999997</v>
      </c>
      <c r="CT26" s="63">
        <v>16.3</v>
      </c>
      <c r="CU26" s="9"/>
      <c r="CV26" s="9"/>
    </row>
    <row r="27" spans="1:100" x14ac:dyDescent="0.4">
      <c r="A27" s="26">
        <v>5</v>
      </c>
      <c r="B27" s="40" t="s">
        <v>131</v>
      </c>
      <c r="C27" s="69" t="s">
        <v>132</v>
      </c>
      <c r="D27" s="122" t="s">
        <v>404</v>
      </c>
      <c r="E27" s="76">
        <v>45.02836111111111</v>
      </c>
      <c r="F27" s="42">
        <v>37.585611111111113</v>
      </c>
      <c r="G27" s="8">
        <v>172</v>
      </c>
      <c r="H27" s="41">
        <v>37126</v>
      </c>
      <c r="I27" s="9">
        <f>(O27+P27+Z27/1000+AA27/1000+T27/1000+U27/1000+Y27/1000/32*96)/1000</f>
        <v>11.343729597124042</v>
      </c>
      <c r="J27" s="8"/>
      <c r="K27" s="68">
        <f>2200/(LOG(((U27/1000)^0.5)/(R27/1000000))+5.47)-273</f>
        <v>57.300849882522527</v>
      </c>
      <c r="L27" s="8"/>
      <c r="M27" s="27">
        <v>7.6</v>
      </c>
      <c r="N27" s="8">
        <v>0.65</v>
      </c>
      <c r="O27" s="29">
        <v>4492.6000000000004</v>
      </c>
      <c r="P27" s="30">
        <v>3230.5</v>
      </c>
      <c r="Q27" s="30">
        <f>Y27/32*96/1000</f>
        <v>4.3656911040278192</v>
      </c>
      <c r="R27" s="30">
        <v>507698</v>
      </c>
      <c r="S27" s="30">
        <v>170521.13621113848</v>
      </c>
      <c r="T27" s="30">
        <v>3485600</v>
      </c>
      <c r="U27" s="30">
        <v>62001.152068819996</v>
      </c>
      <c r="V27" s="30">
        <v>233.6138494830488</v>
      </c>
      <c r="W27" s="30">
        <v>8515.5279503105576</v>
      </c>
      <c r="X27" s="30">
        <v>5045.6182472989194</v>
      </c>
      <c r="Y27" s="30">
        <v>1455.230368009273</v>
      </c>
      <c r="Z27" s="30">
        <v>31967.5</v>
      </c>
      <c r="AA27" s="30">
        <v>36695.253951194507</v>
      </c>
      <c r="AB27" s="9">
        <v>7.9005405405405407</v>
      </c>
      <c r="AC27" s="9" t="s">
        <v>96</v>
      </c>
      <c r="AD27" s="30">
        <v>25.27</v>
      </c>
      <c r="AE27" s="30">
        <v>325.03419972640216</v>
      </c>
      <c r="AF27" s="10">
        <v>0.75405787520499268</v>
      </c>
      <c r="AG27" s="9">
        <v>11.41390188145278</v>
      </c>
      <c r="AH27" s="30" t="s">
        <v>71</v>
      </c>
      <c r="AI27" s="9">
        <v>18.173308419570123</v>
      </c>
      <c r="AJ27" s="9">
        <v>10.845029833510754</v>
      </c>
      <c r="AK27" s="30">
        <v>106.11828623220862</v>
      </c>
      <c r="AL27" s="30">
        <v>14516.571424949208</v>
      </c>
      <c r="AM27" s="30">
        <v>1315</v>
      </c>
      <c r="AN27" s="30">
        <v>428.3</v>
      </c>
      <c r="AO27" s="9" t="s">
        <v>74</v>
      </c>
      <c r="AP27" s="30">
        <v>24737.013091005592</v>
      </c>
      <c r="AQ27" s="9" t="s">
        <v>74</v>
      </c>
      <c r="AR27" s="30">
        <v>43270.046875</v>
      </c>
      <c r="AS27" s="9" t="s">
        <v>69</v>
      </c>
      <c r="AT27" s="9" t="s">
        <v>69</v>
      </c>
      <c r="AU27" s="9">
        <v>1.6178388015220457</v>
      </c>
      <c r="AV27" s="9">
        <v>1.4652683707302518</v>
      </c>
      <c r="AW27" s="30">
        <v>5993.4683333333323</v>
      </c>
      <c r="AX27" s="30"/>
      <c r="AY27" s="9" t="s">
        <v>76</v>
      </c>
      <c r="AZ27" s="10">
        <v>0.12812133436638373</v>
      </c>
      <c r="BA27" s="31">
        <v>3.1465124611147914E-2</v>
      </c>
      <c r="BB27" s="10">
        <v>0.23174264394587735</v>
      </c>
      <c r="BC27" s="10" t="s">
        <v>79</v>
      </c>
      <c r="BD27" s="31" t="s">
        <v>80</v>
      </c>
      <c r="BE27" s="10" t="s">
        <v>81</v>
      </c>
      <c r="BF27" s="10" t="s">
        <v>82</v>
      </c>
      <c r="BG27" s="10" t="s">
        <v>81</v>
      </c>
      <c r="BH27" s="10" t="s">
        <v>82</v>
      </c>
      <c r="BI27" s="31" t="s">
        <v>81</v>
      </c>
      <c r="BJ27" s="10" t="s">
        <v>82</v>
      </c>
      <c r="BK27" s="31" t="s">
        <v>77</v>
      </c>
      <c r="BL27" s="10" t="s">
        <v>78</v>
      </c>
      <c r="BM27" s="10">
        <v>0.14774920401858338</v>
      </c>
      <c r="BN27" s="9" t="s">
        <v>81</v>
      </c>
      <c r="BO27" s="31">
        <v>0.54038359565493921</v>
      </c>
      <c r="BP27" s="31" t="s">
        <v>77</v>
      </c>
      <c r="BQ27" s="10" t="s">
        <v>80</v>
      </c>
      <c r="BR27" s="10">
        <v>0.68220997296230657</v>
      </c>
      <c r="BS27" s="10" t="s">
        <v>78</v>
      </c>
      <c r="BT27" s="10" t="s">
        <v>84</v>
      </c>
      <c r="BU27" s="30">
        <v>1544.7249999999999</v>
      </c>
      <c r="BV27" s="30"/>
      <c r="BW27" s="9">
        <f>O27/61/(O27/61+P27/35.5+Q27/96*2)*100</f>
        <v>44.706277294284938</v>
      </c>
      <c r="BX27" s="9">
        <f>P27/35.5/(O27/61+P27/35.5+Q27/96*2)*100</f>
        <v>55.238513391037635</v>
      </c>
      <c r="BY27" s="9">
        <f>Q27/96*2/(O27/61+P27/35.5+Q27/96*2)*100</f>
        <v>5.5209314677420913E-2</v>
      </c>
      <c r="BZ27" s="9">
        <f>T27/23/(T27/23+U27/24.31*2+AA27/40.08*2)*100</f>
        <v>95.625955660612476</v>
      </c>
      <c r="CA27" s="9">
        <f>AA27/40.08*2/(T27/23+U27/24.31*2+AA27/40.08*2)*100</f>
        <v>1.155415682402013</v>
      </c>
      <c r="CB27" s="9">
        <f>U27/24.31*2/(T27/23+U27/24.31*2+AA27/40.08*2)*100</f>
        <v>3.2186286569855218</v>
      </c>
      <c r="CC27" s="9"/>
      <c r="CD27" s="8"/>
      <c r="CE27" s="9">
        <v>6.84307400105879</v>
      </c>
      <c r="CF27" s="30">
        <v>-20.799710784992346</v>
      </c>
      <c r="CG27" s="30"/>
      <c r="CH27" s="8">
        <v>91.11</v>
      </c>
      <c r="CI27" s="8">
        <v>8.15</v>
      </c>
      <c r="CJ27" s="8"/>
      <c r="CK27" s="31"/>
      <c r="CL27" s="31"/>
      <c r="CM27" s="31"/>
      <c r="CN27" s="8">
        <v>1E-3</v>
      </c>
      <c r="CO27" s="8">
        <v>0.74</v>
      </c>
      <c r="CP27" s="10">
        <f>SUM(CH27:CO27)</f>
        <v>100.001</v>
      </c>
      <c r="CQ27" s="8"/>
      <c r="CR27" s="9"/>
      <c r="CS27" s="9"/>
      <c r="CT27" s="9"/>
      <c r="CU27" s="9"/>
      <c r="CV27" s="9"/>
    </row>
    <row r="28" spans="1:100" x14ac:dyDescent="0.4">
      <c r="A28" s="26">
        <v>5</v>
      </c>
      <c r="B28" s="40" t="s">
        <v>133</v>
      </c>
      <c r="C28" s="69" t="s">
        <v>132</v>
      </c>
      <c r="D28" s="122" t="s">
        <v>404</v>
      </c>
      <c r="E28" s="76">
        <v>45.02836111111111</v>
      </c>
      <c r="F28" s="42">
        <v>37.585611111111113</v>
      </c>
      <c r="G28" s="8">
        <v>170</v>
      </c>
      <c r="H28" s="41">
        <v>40004</v>
      </c>
      <c r="I28" s="9">
        <f>(O28+P28+Z28/1000+AA28/1000+T28/1000+U28/1000+Y28/1000/32*96)/1000</f>
        <v>10.558868072043259</v>
      </c>
      <c r="J28" s="8"/>
      <c r="K28" s="68">
        <f>2200/(LOG(((U28/1000)^0.5)/(R28/1000000))+5.47)-273</f>
        <v>62.765948880511985</v>
      </c>
      <c r="L28" s="8">
        <v>-160</v>
      </c>
      <c r="M28" s="8">
        <v>8.67</v>
      </c>
      <c r="N28" s="9">
        <v>0.8</v>
      </c>
      <c r="O28" s="29">
        <v>3904</v>
      </c>
      <c r="P28" s="30">
        <v>3191</v>
      </c>
      <c r="Q28" s="30">
        <f>Y28/32*96/1000</f>
        <v>353.355790008898</v>
      </c>
      <c r="R28" s="30">
        <v>540906.90826315491</v>
      </c>
      <c r="S28" s="30">
        <v>175374.37177519198</v>
      </c>
      <c r="T28" s="30">
        <v>3010831.5715292497</v>
      </c>
      <c r="U28" s="30">
        <v>42718.048092344601</v>
      </c>
      <c r="V28" s="9">
        <v>71.333864105675843</v>
      </c>
      <c r="W28" s="30">
        <v>6685.0409070474243</v>
      </c>
      <c r="X28" s="30">
        <v>1068.6848596829534</v>
      </c>
      <c r="Y28" s="30">
        <v>117785.26333629934</v>
      </c>
      <c r="Z28" s="30">
        <v>41074.24303681749</v>
      </c>
      <c r="AA28" s="30">
        <v>15888.419375947977</v>
      </c>
      <c r="AB28" s="9">
        <v>3.8072664017360971</v>
      </c>
      <c r="AC28" s="9"/>
      <c r="AD28" s="9">
        <v>37.23668</v>
      </c>
      <c r="AE28" s="30">
        <v>519.63726264918193</v>
      </c>
      <c r="AF28" s="30"/>
      <c r="AG28" s="30"/>
      <c r="AH28" s="30"/>
      <c r="AI28" s="9"/>
      <c r="AJ28" s="9"/>
      <c r="AK28" s="9">
        <v>27.889349799439778</v>
      </c>
      <c r="AL28" s="30">
        <v>8734.1801000000014</v>
      </c>
      <c r="AM28" s="30">
        <v>662.4576410256409</v>
      </c>
      <c r="AN28" s="30">
        <v>362.20346153846151</v>
      </c>
      <c r="AO28" s="30">
        <v>113.06387545787545</v>
      </c>
      <c r="AP28" s="30">
        <v>20334.20888888889</v>
      </c>
      <c r="AQ28" s="30"/>
      <c r="AR28" s="30">
        <v>238261.98207843135</v>
      </c>
      <c r="AS28" s="30"/>
      <c r="AT28" s="8"/>
      <c r="AU28" s="30"/>
      <c r="AV28" s="30">
        <v>2778.3212076923073</v>
      </c>
      <c r="AW28" s="30">
        <v>7738.0270476190481</v>
      </c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>
        <v>122.35599999999999</v>
      </c>
      <c r="BN28" s="30"/>
      <c r="BO28" s="30">
        <v>114.30115384615384</v>
      </c>
      <c r="BP28" s="9">
        <v>90.76649572649572</v>
      </c>
      <c r="BQ28" s="30"/>
      <c r="BR28" s="30"/>
      <c r="BS28" s="30"/>
      <c r="BT28" s="30"/>
      <c r="BU28" s="30">
        <v>44040.543885714287</v>
      </c>
      <c r="BV28" s="30"/>
      <c r="BW28" s="9">
        <f>O28/61/(O28/61+P28/35.5+Q28/96*2)*100</f>
        <v>39.69019252107698</v>
      </c>
      <c r="BX28" s="9">
        <f>P28/35.5/(O28/61+P28/35.5+Q28/96*2)*100</f>
        <v>55.744456133255568</v>
      </c>
      <c r="BY28" s="9">
        <f>Q28/96*2/(O28/61+P28/35.5+Q28/96*2)*100</f>
        <v>4.5653513456674517</v>
      </c>
      <c r="BZ28" s="9">
        <f>T28/23/(T28/23+U28/24.31*2+AA28/40.08*2)*100</f>
        <v>96.81444993237848</v>
      </c>
      <c r="CA28" s="9">
        <f>AA28/40.08*2/(T28/23+U28/24.31*2+AA28/40.08*2)*100</f>
        <v>0.58636026743809933</v>
      </c>
      <c r="CB28" s="9">
        <f>U28/24.31*2/(T28/23+U28/24.31*2+AA28/40.08*2)*100</f>
        <v>2.5991898001834071</v>
      </c>
      <c r="CC28" s="9"/>
      <c r="CD28" s="9">
        <v>7.6</v>
      </c>
      <c r="CE28" s="9">
        <v>3.3</v>
      </c>
      <c r="CF28" s="30">
        <v>-29</v>
      </c>
      <c r="CG28" s="30"/>
      <c r="CH28" s="10">
        <v>89.527000000000001</v>
      </c>
      <c r="CI28" s="9">
        <v>6.9034000000000004</v>
      </c>
      <c r="CJ28" s="10">
        <v>2.1680000000000001E-2</v>
      </c>
      <c r="CK28" s="32">
        <v>4.4025999999999996E-3</v>
      </c>
      <c r="CL28" s="32"/>
      <c r="CM28" s="32"/>
      <c r="CN28" s="31">
        <v>1.8259000000000001E-2</v>
      </c>
      <c r="CO28" s="10">
        <v>0.83257000000000003</v>
      </c>
      <c r="CP28" s="10">
        <v>97.308000000000007</v>
      </c>
      <c r="CQ28" s="8"/>
      <c r="CR28" s="118">
        <v>-2.1</v>
      </c>
      <c r="CS28" s="117">
        <v>-52</v>
      </c>
      <c r="CT28" s="117">
        <v>-1.5</v>
      </c>
      <c r="CU28" s="9"/>
      <c r="CV28" s="9"/>
    </row>
    <row r="29" spans="1:100" x14ac:dyDescent="0.4">
      <c r="A29" s="26">
        <v>5</v>
      </c>
      <c r="B29" s="40" t="s">
        <v>134</v>
      </c>
      <c r="C29" s="69" t="s">
        <v>132</v>
      </c>
      <c r="D29" s="122" t="s">
        <v>404</v>
      </c>
      <c r="E29" s="76">
        <v>45.02836111111111</v>
      </c>
      <c r="F29" s="42">
        <v>37.585611111111113</v>
      </c>
      <c r="G29" s="8">
        <v>170</v>
      </c>
      <c r="H29" s="41">
        <v>40004</v>
      </c>
      <c r="I29" s="9"/>
      <c r="J29" s="8"/>
      <c r="K29" s="68"/>
      <c r="L29" s="8"/>
      <c r="M29" s="8"/>
      <c r="N29" s="9"/>
      <c r="O29" s="29"/>
      <c r="P29" s="30"/>
      <c r="Q29" s="30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9"/>
      <c r="BX29" s="9"/>
      <c r="BY29" s="9"/>
      <c r="BZ29" s="9"/>
      <c r="CA29" s="9"/>
      <c r="CB29" s="9"/>
      <c r="CC29" s="9"/>
      <c r="CD29" s="9">
        <v>7.3</v>
      </c>
      <c r="CE29" s="9">
        <v>3.2</v>
      </c>
      <c r="CF29" s="30">
        <v>-31</v>
      </c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9"/>
      <c r="CS29" s="121"/>
      <c r="CT29" s="121"/>
      <c r="CU29" s="9"/>
      <c r="CV29" s="9"/>
    </row>
    <row r="30" spans="1:100" x14ac:dyDescent="0.4">
      <c r="A30" s="26">
        <v>5</v>
      </c>
      <c r="B30" s="40" t="s">
        <v>135</v>
      </c>
      <c r="C30" s="71" t="s">
        <v>132</v>
      </c>
      <c r="D30" s="122" t="s">
        <v>404</v>
      </c>
      <c r="E30" s="76">
        <v>45.028390000000002</v>
      </c>
      <c r="F30" s="42">
        <v>37.585590000000003</v>
      </c>
      <c r="G30" s="30">
        <v>167.060608</v>
      </c>
      <c r="H30" s="41">
        <v>44021</v>
      </c>
      <c r="I30" s="9">
        <f>(O30+P30+Z30/1000+AA30/1000+T30/1000+U30/1000+Y30/1000/32*96)/1000</f>
        <v>12.264760738164979</v>
      </c>
      <c r="J30" s="25"/>
      <c r="K30" s="68">
        <f>2200/(LOG(((U30/1000)^0.5)/(R30/1000000))+5.47)-273</f>
        <v>66.572560862473097</v>
      </c>
      <c r="L30" s="8">
        <v>-10</v>
      </c>
      <c r="M30" s="8">
        <v>7.21</v>
      </c>
      <c r="N30" s="109" t="s">
        <v>66</v>
      </c>
      <c r="O30" s="110">
        <v>3863.3333333333335</v>
      </c>
      <c r="P30" s="30">
        <v>3825</v>
      </c>
      <c r="Q30" s="30">
        <f>Y30/32*96/1000</f>
        <v>167.95442507851556</v>
      </c>
      <c r="R30" s="30">
        <v>824525.64224376436</v>
      </c>
      <c r="S30" s="30">
        <v>186374.15199594194</v>
      </c>
      <c r="T30" s="30">
        <v>4236251.152143104</v>
      </c>
      <c r="U30" s="30">
        <v>70774.138626716143</v>
      </c>
      <c r="V30" s="9"/>
      <c r="W30" s="30">
        <v>7965.0913120772066</v>
      </c>
      <c r="X30" s="30">
        <v>2463.6772621129962</v>
      </c>
      <c r="Y30" s="30">
        <v>55984.808359505187</v>
      </c>
      <c r="Z30" s="30">
        <v>64055.480181782303</v>
      </c>
      <c r="AA30" s="30">
        <v>37392.208801528446</v>
      </c>
      <c r="AB30" s="9"/>
      <c r="AC30" s="9"/>
      <c r="AD30" s="9">
        <v>10.057142857142855</v>
      </c>
      <c r="AE30" s="30">
        <v>1551.0952200006418</v>
      </c>
      <c r="AF30" s="9"/>
      <c r="AG30" s="9"/>
      <c r="AH30" s="9"/>
      <c r="AI30" s="9"/>
      <c r="AJ30" s="9">
        <v>34.135714285714286</v>
      </c>
      <c r="AK30" s="9">
        <v>37.186526701298696</v>
      </c>
      <c r="AL30" s="30">
        <v>14700.052619047619</v>
      </c>
      <c r="AM30" s="30">
        <v>1614.3301447276906</v>
      </c>
      <c r="AN30" s="30">
        <v>1525.5515245292022</v>
      </c>
      <c r="AO30" s="30"/>
      <c r="AP30" s="30">
        <v>9796.875</v>
      </c>
      <c r="AQ30" s="9">
        <v>67.681428571428569</v>
      </c>
      <c r="AR30" s="30">
        <v>200722.04250000004</v>
      </c>
      <c r="AS30" s="30"/>
      <c r="AT30" s="30"/>
      <c r="AU30" s="30"/>
      <c r="AV30" s="30">
        <v>404.84000000000003</v>
      </c>
      <c r="AW30" s="30">
        <v>12964.5672</v>
      </c>
      <c r="AX30" s="30">
        <v>45.874285714285712</v>
      </c>
      <c r="AY30" s="30"/>
      <c r="AZ30" s="9">
        <v>44.785714285714285</v>
      </c>
      <c r="BA30" s="9"/>
      <c r="BB30" s="9">
        <v>23.904</v>
      </c>
      <c r="BC30" s="9">
        <v>15.172857142857143</v>
      </c>
      <c r="BD30" s="9"/>
      <c r="BE30" s="9">
        <v>12.940000000000001</v>
      </c>
      <c r="BF30" s="9"/>
      <c r="BG30" s="9"/>
      <c r="BH30" s="9"/>
      <c r="BI30" s="9"/>
      <c r="BJ30" s="9"/>
      <c r="BK30" s="9"/>
      <c r="BL30" s="9"/>
      <c r="BM30" s="9">
        <v>48.78</v>
      </c>
      <c r="BN30" s="9"/>
      <c r="BO30" s="30">
        <v>427.84142857142859</v>
      </c>
      <c r="BP30" s="30">
        <v>114.26428571428572</v>
      </c>
      <c r="BQ30" s="9"/>
      <c r="BR30" s="10"/>
      <c r="BS30" s="9"/>
      <c r="BT30" s="9"/>
      <c r="BU30" s="30">
        <v>6157.1194285714282</v>
      </c>
      <c r="BV30" s="30"/>
      <c r="BW30" s="9">
        <f>O30/61/(O30/61+P30/35.5+Q30/96*2)*100</f>
        <v>36.277778617237836</v>
      </c>
      <c r="BX30" s="9">
        <f>P30/35.5/(O30/61+P30/35.5+Q30/96*2)*100</f>
        <v>61.717940642372746</v>
      </c>
      <c r="BY30" s="9">
        <f>Q30/96*2/(O30/61+P30/35.5+Q30/96*2)*100</f>
        <v>2.0042807403894232</v>
      </c>
      <c r="BZ30" s="9">
        <f>T30/23/(T30/23+U30/24.31*2+AA30/40.08*2)*100</f>
        <v>95.9929220846699</v>
      </c>
      <c r="CA30" s="9">
        <f>AA30/40.08*2/(T30/23+U30/24.31*2+AA30/40.08*2)*100</f>
        <v>0.97245329260546176</v>
      </c>
      <c r="CB30" s="9">
        <f>U30/24.31*2/(T30/23+U30/24.31*2+AA30/40.08*2)*100</f>
        <v>3.0346246227246425</v>
      </c>
      <c r="CC30" s="9"/>
      <c r="CD30" s="111">
        <v>6.9</v>
      </c>
      <c r="CE30" s="112">
        <v>6.3</v>
      </c>
      <c r="CF30" s="113">
        <v>-14</v>
      </c>
      <c r="CG30" s="30"/>
      <c r="CH30" s="8">
        <v>91.93</v>
      </c>
      <c r="CI30" s="10">
        <v>7.1660000000000004</v>
      </c>
      <c r="CJ30" s="31">
        <v>2.443E-2</v>
      </c>
      <c r="CK30" s="31"/>
      <c r="CL30" s="31">
        <v>5.1130000000000002E-2</v>
      </c>
      <c r="CM30" s="31">
        <v>1.167E-2</v>
      </c>
      <c r="CN30" s="8"/>
      <c r="CO30" s="8">
        <v>0.54320000000000002</v>
      </c>
      <c r="CP30" s="10">
        <f t="shared" ref="CP30:CP31" si="7">SUM(CH30:CO30)</f>
        <v>99.726429999999993</v>
      </c>
      <c r="CQ30" s="30"/>
      <c r="CR30" s="9"/>
      <c r="CS30" s="63">
        <v>-45.9</v>
      </c>
      <c r="CT30" s="63">
        <v>-7.6</v>
      </c>
      <c r="CU30" s="9"/>
      <c r="CV30" s="9"/>
    </row>
    <row r="31" spans="1:100" x14ac:dyDescent="0.4">
      <c r="A31" s="26">
        <v>6</v>
      </c>
      <c r="B31" s="40" t="s">
        <v>136</v>
      </c>
      <c r="C31" s="69" t="s">
        <v>137</v>
      </c>
      <c r="D31" s="120" t="s">
        <v>405</v>
      </c>
      <c r="E31" s="76">
        <v>45.251805555555556</v>
      </c>
      <c r="F31" s="42">
        <v>37.439166666666665</v>
      </c>
      <c r="G31" s="8">
        <v>32</v>
      </c>
      <c r="H31" s="41">
        <v>37130</v>
      </c>
      <c r="I31" s="9">
        <f>(O31+P31+Z31/1000+AA31/1000+T31/1000+U31/1000+Y31/1000/32*96)/1000</f>
        <v>13.181758216050419</v>
      </c>
      <c r="J31" s="8"/>
      <c r="K31" s="68">
        <f>2200/(LOG(((U31/1000)^0.5)/(R31/1000000))+5.47)-273</f>
        <v>31.902008934310061</v>
      </c>
      <c r="L31" s="8"/>
      <c r="M31" s="27">
        <v>9.4600000000000009</v>
      </c>
      <c r="N31" s="8">
        <v>2.2000000000000002</v>
      </c>
      <c r="O31" s="29">
        <v>2470.5</v>
      </c>
      <c r="P31" s="30">
        <v>5999.5</v>
      </c>
      <c r="Q31" s="30">
        <f>Y31/32*96/1000</f>
        <v>19.478117937127593</v>
      </c>
      <c r="R31" s="30">
        <v>49278.960446767102</v>
      </c>
      <c r="S31" s="30">
        <v>119301.31004366813</v>
      </c>
      <c r="T31" s="30">
        <v>4681200</v>
      </c>
      <c r="U31" s="30">
        <v>7519.5</v>
      </c>
      <c r="V31" s="9">
        <v>30.18480492813142</v>
      </c>
      <c r="W31" s="30">
        <v>1766.1446041621971</v>
      </c>
      <c r="X31" s="30">
        <v>2061.915645127779</v>
      </c>
      <c r="Y31" s="30">
        <v>6492.705979042531</v>
      </c>
      <c r="Z31" s="30">
        <v>1950.5143032598128</v>
      </c>
      <c r="AA31" s="30">
        <v>1610.0838100305975</v>
      </c>
      <c r="AB31" s="9" t="s">
        <v>75</v>
      </c>
      <c r="AC31" s="9" t="s">
        <v>71</v>
      </c>
      <c r="AD31" s="30">
        <v>8.2226589133695676</v>
      </c>
      <c r="AE31" s="30">
        <v>243.3</v>
      </c>
      <c r="AF31" s="9">
        <v>1.1719721141203596</v>
      </c>
      <c r="AG31" s="9">
        <v>7.776739703966296</v>
      </c>
      <c r="AH31" s="9" t="s">
        <v>96</v>
      </c>
      <c r="AI31" s="9" t="s">
        <v>96</v>
      </c>
      <c r="AJ31" s="9" t="s">
        <v>98</v>
      </c>
      <c r="AK31" s="30">
        <v>107.28324993973101</v>
      </c>
      <c r="AL31" s="30">
        <v>84037.885576946603</v>
      </c>
      <c r="AM31" s="30">
        <v>550.20000000000005</v>
      </c>
      <c r="AN31" s="30">
        <v>321.8</v>
      </c>
      <c r="AO31" s="10">
        <v>0.19544012589426374</v>
      </c>
      <c r="AP31" s="30">
        <v>6088.2191097487721</v>
      </c>
      <c r="AQ31" s="9" t="s">
        <v>69</v>
      </c>
      <c r="AR31" s="30">
        <v>283931.22317528393</v>
      </c>
      <c r="AS31" s="9" t="s">
        <v>104</v>
      </c>
      <c r="AT31" s="9" t="s">
        <v>99</v>
      </c>
      <c r="AU31" s="9">
        <v>3.0945621088407176</v>
      </c>
      <c r="AV31" s="9" t="s">
        <v>69</v>
      </c>
      <c r="AW31" s="30">
        <v>443.71122361338576</v>
      </c>
      <c r="AX31" s="9"/>
      <c r="AY31" s="9" t="s">
        <v>81</v>
      </c>
      <c r="AZ31" s="9" t="s">
        <v>79</v>
      </c>
      <c r="BA31" s="9" t="s">
        <v>80</v>
      </c>
      <c r="BB31" s="9" t="s">
        <v>84</v>
      </c>
      <c r="BC31" s="9" t="s">
        <v>80</v>
      </c>
      <c r="BD31" s="9" t="s">
        <v>79</v>
      </c>
      <c r="BE31" s="9" t="s">
        <v>79</v>
      </c>
      <c r="BF31" s="9" t="s">
        <v>84</v>
      </c>
      <c r="BG31" s="9" t="s">
        <v>79</v>
      </c>
      <c r="BH31" s="9" t="s">
        <v>81</v>
      </c>
      <c r="BI31" s="10" t="s">
        <v>80</v>
      </c>
      <c r="BJ31" s="10" t="s">
        <v>82</v>
      </c>
      <c r="BK31" s="10" t="s">
        <v>138</v>
      </c>
      <c r="BL31" s="10" t="s">
        <v>82</v>
      </c>
      <c r="BM31" s="10" t="s">
        <v>81</v>
      </c>
      <c r="BN31" s="9" t="s">
        <v>78</v>
      </c>
      <c r="BO31" s="9">
        <v>1.1969434941163202</v>
      </c>
      <c r="BP31" s="10" t="s">
        <v>80</v>
      </c>
      <c r="BQ31" s="10" t="s">
        <v>80</v>
      </c>
      <c r="BR31" s="10" t="s">
        <v>98</v>
      </c>
      <c r="BS31" s="10" t="s">
        <v>103</v>
      </c>
      <c r="BT31" s="10" t="s">
        <v>78</v>
      </c>
      <c r="BU31" s="30">
        <v>2120.5432079842044</v>
      </c>
      <c r="BV31" s="30"/>
      <c r="BW31" s="9">
        <f>O31/61/(O31/61+P31/35.5+Q31/96*2)*100</f>
        <v>19.294369728610143</v>
      </c>
      <c r="BX31" s="9">
        <f>P31/35.5/(O31/61+P31/35.5+Q31/96*2)*100</f>
        <v>80.512308250249731</v>
      </c>
      <c r="BY31" s="9">
        <f>Q31/96*2/(O31/61+P31/35.5+Q31/96*2)*100</f>
        <v>0.19332202114013006</v>
      </c>
      <c r="BZ31" s="9">
        <f>T31/23/(T31/23+U31/24.31*2+AA31/40.08*2)*100</f>
        <v>99.657748704513381</v>
      </c>
      <c r="CA31" s="9">
        <f>AA31/40.08*2/(T31/23+U31/24.31*2+AA31/40.08*2)*100</f>
        <v>3.9339829887610055E-2</v>
      </c>
      <c r="CB31" s="9">
        <f>U31/24.31*2/(T31/23+U31/24.31*2+AA31/40.08*2)*100</f>
        <v>0.30291146559899912</v>
      </c>
      <c r="CC31" s="9"/>
      <c r="CD31" s="8"/>
      <c r="CE31" s="9">
        <v>2.4101078075947497</v>
      </c>
      <c r="CF31" s="30">
        <v>-36.776268563761796</v>
      </c>
      <c r="CG31" s="30"/>
      <c r="CH31" s="8">
        <v>98.36</v>
      </c>
      <c r="CI31" s="8">
        <v>0.86</v>
      </c>
      <c r="CJ31" s="8"/>
      <c r="CK31" s="31"/>
      <c r="CL31" s="31"/>
      <c r="CM31" s="31"/>
      <c r="CN31" s="8">
        <v>1E-3</v>
      </c>
      <c r="CO31" s="8">
        <v>0.78</v>
      </c>
      <c r="CP31" s="10">
        <f t="shared" si="7"/>
        <v>100.001</v>
      </c>
      <c r="CQ31" s="8"/>
      <c r="CR31" s="9"/>
      <c r="CS31" s="9">
        <v>-56.3</v>
      </c>
      <c r="CT31" s="9">
        <v>-13.133333333333333</v>
      </c>
      <c r="CU31" s="9"/>
      <c r="CV31" s="9"/>
    </row>
    <row r="32" spans="1:100" x14ac:dyDescent="0.4">
      <c r="A32" s="26">
        <v>6</v>
      </c>
      <c r="B32" s="40" t="s">
        <v>139</v>
      </c>
      <c r="C32" s="69" t="s">
        <v>140</v>
      </c>
      <c r="D32" s="120" t="s">
        <v>406</v>
      </c>
      <c r="E32" s="76">
        <v>45.251805555555556</v>
      </c>
      <c r="F32" s="42">
        <v>37.439166666666665</v>
      </c>
      <c r="G32" s="8">
        <v>29</v>
      </c>
      <c r="H32" s="41">
        <v>40001</v>
      </c>
      <c r="I32" s="9">
        <f>(O32+P32+Z32/1000+AA32/1000+T32/1000+U32/1000+Y32/1000/32*96)/1000</f>
        <v>12.89936285250826</v>
      </c>
      <c r="J32" s="27"/>
      <c r="K32" s="68">
        <f>2200/(LOG(((U32/1000)^0.5)/(R32/1000000))+5.47)-273</f>
        <v>40.851455027146187</v>
      </c>
      <c r="L32" s="8"/>
      <c r="M32" s="8"/>
      <c r="N32" s="9">
        <v>1.6</v>
      </c>
      <c r="O32" s="29">
        <v>2440</v>
      </c>
      <c r="P32" s="30">
        <v>5815</v>
      </c>
      <c r="Q32" s="30">
        <f>Y32/32*96/1000</f>
        <v>24.021227914071439</v>
      </c>
      <c r="R32" s="30">
        <v>105131.47266722786</v>
      </c>
      <c r="S32" s="30">
        <v>119804.80139147658</v>
      </c>
      <c r="T32" s="30">
        <v>4596654.6686428124</v>
      </c>
      <c r="U32" s="30">
        <v>13268.949391765409</v>
      </c>
      <c r="V32" s="30"/>
      <c r="W32" s="30">
        <v>2743.3769504485645</v>
      </c>
      <c r="X32" s="30">
        <v>8299.7888477761699</v>
      </c>
      <c r="Y32" s="30">
        <v>8007.075971357146</v>
      </c>
      <c r="Z32" s="30">
        <v>5775.9157671934117</v>
      </c>
      <c r="AA32" s="30">
        <v>4642.0907924172252</v>
      </c>
      <c r="AB32" s="9">
        <v>12.773442175691436</v>
      </c>
      <c r="AC32" s="9"/>
      <c r="AD32" s="9">
        <v>3.7046800000000002</v>
      </c>
      <c r="AE32" s="30">
        <v>241.20693116050938</v>
      </c>
      <c r="AF32" s="9">
        <v>1.9636284569691542</v>
      </c>
      <c r="AG32" s="9">
        <v>36.037404077242066</v>
      </c>
      <c r="AH32" s="9"/>
      <c r="AI32" s="9">
        <v>12.994615384615383</v>
      </c>
      <c r="AJ32" s="9"/>
      <c r="AK32" s="9">
        <v>82.677377846498615</v>
      </c>
      <c r="AL32" s="30">
        <v>55703.140100000004</v>
      </c>
      <c r="AM32" s="30">
        <v>592.95764102564112</v>
      </c>
      <c r="AN32" s="30">
        <v>333.00346153846147</v>
      </c>
      <c r="AO32" s="30">
        <v>125.9260183150183</v>
      </c>
      <c r="AP32" s="30">
        <v>2188.8253333333332</v>
      </c>
      <c r="AQ32" s="30"/>
      <c r="AR32" s="30">
        <v>110561.78207843137</v>
      </c>
      <c r="AS32" s="30"/>
      <c r="AT32" s="8"/>
      <c r="AU32" s="30"/>
      <c r="AV32" s="30">
        <v>2465.2212076923074</v>
      </c>
      <c r="AW32" s="30">
        <v>1387.2530476190477</v>
      </c>
      <c r="AX32" s="9"/>
      <c r="AY32" s="9">
        <v>87.224372377622373</v>
      </c>
      <c r="AZ32" s="30">
        <v>229.22818181818184</v>
      </c>
      <c r="BA32" s="9">
        <v>29.765217391304351</v>
      </c>
      <c r="BB32" s="30">
        <v>217.96352272727273</v>
      </c>
      <c r="BC32" s="9"/>
      <c r="BD32" s="9"/>
      <c r="BE32" s="9">
        <v>43.358076923076929</v>
      </c>
      <c r="BF32" s="9"/>
      <c r="BG32" s="9">
        <v>25.993166666666667</v>
      </c>
      <c r="BH32" s="9">
        <v>8.6768000000000001</v>
      </c>
      <c r="BI32" s="9">
        <v>16.989599999999999</v>
      </c>
      <c r="BJ32" s="30"/>
      <c r="BK32" s="9">
        <v>28.640747826086958</v>
      </c>
      <c r="BL32" s="30"/>
      <c r="BM32" s="9"/>
      <c r="BN32" s="30"/>
      <c r="BO32" s="30">
        <v>1690.3811538461539</v>
      </c>
      <c r="BP32" s="30"/>
      <c r="BQ32" s="30"/>
      <c r="BR32" s="30"/>
      <c r="BS32" s="30"/>
      <c r="BT32" s="30"/>
      <c r="BU32" s="30">
        <v>1006.1318857142857</v>
      </c>
      <c r="BV32" s="30"/>
      <c r="BW32" s="9">
        <f>O32/61/(O32/61+P32/35.5+Q32/96*2)*100</f>
        <v>19.578738081073212</v>
      </c>
      <c r="BX32" s="9">
        <f>P32/35.5/(O32/61+P32/35.5+Q32/96*2)*100</f>
        <v>80.176311226366707</v>
      </c>
      <c r="BY32" s="9">
        <f>Q32/96*2/(O32/61+P32/35.5+Q32/96*2)*100</f>
        <v>0.24495069256008817</v>
      </c>
      <c r="BZ32" s="9">
        <f>T32/23/(T32/23+U32/24.31*2+AA32/40.08*2)*100</f>
        <v>99.342230417935312</v>
      </c>
      <c r="CA32" s="9">
        <f>AA32/40.08*2/(T32/23+U32/24.31*2+AA32/40.08*2)*100</f>
        <v>0.11514253262915068</v>
      </c>
      <c r="CB32" s="9">
        <f>U32/24.31*2/(T32/23+U32/24.31*2+AA32/40.08*2)*100</f>
        <v>0.54262704943554241</v>
      </c>
      <c r="CC32" s="9"/>
      <c r="CD32" s="9">
        <v>3.3</v>
      </c>
      <c r="CE32" s="9">
        <v>1.5</v>
      </c>
      <c r="CF32" s="30">
        <v>-34</v>
      </c>
      <c r="CG32" s="30"/>
      <c r="CH32" s="10">
        <v>95.322000000000003</v>
      </c>
      <c r="CI32" s="10">
        <v>0.80256000000000005</v>
      </c>
      <c r="CJ32" s="32">
        <v>3.339E-3</v>
      </c>
      <c r="CK32" s="32">
        <v>4.0214999999999999E-3</v>
      </c>
      <c r="CL32" s="32"/>
      <c r="CM32" s="32"/>
      <c r="CN32" s="31">
        <v>2.6946999999999999E-2</v>
      </c>
      <c r="CO32" s="10">
        <v>1.0817000000000001</v>
      </c>
      <c r="CP32" s="10">
        <v>97.241</v>
      </c>
      <c r="CQ32" s="8"/>
      <c r="CR32" s="9"/>
      <c r="CS32" s="121"/>
      <c r="CT32" s="121"/>
      <c r="CU32" s="9"/>
      <c r="CV32" s="9"/>
    </row>
    <row r="33" spans="1:100" x14ac:dyDescent="0.4">
      <c r="A33" s="26">
        <v>6</v>
      </c>
      <c r="B33" s="40" t="s">
        <v>141</v>
      </c>
      <c r="C33" s="69" t="s">
        <v>140</v>
      </c>
      <c r="D33" s="120" t="s">
        <v>406</v>
      </c>
      <c r="E33" s="76">
        <v>45.251805555555556</v>
      </c>
      <c r="F33" s="42">
        <v>37.439166666666665</v>
      </c>
      <c r="G33" s="8">
        <v>29</v>
      </c>
      <c r="H33" s="41">
        <v>40001</v>
      </c>
      <c r="I33" s="9"/>
      <c r="J33" s="8"/>
      <c r="K33" s="68"/>
      <c r="L33" s="8"/>
      <c r="M33" s="8"/>
      <c r="N33" s="9"/>
      <c r="O33" s="29"/>
      <c r="P33" s="30"/>
      <c r="Q33" s="30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9"/>
      <c r="BX33" s="9"/>
      <c r="BY33" s="9"/>
      <c r="BZ33" s="9"/>
      <c r="CA33" s="9"/>
      <c r="CB33" s="9"/>
      <c r="CC33" s="9"/>
      <c r="CD33" s="9">
        <v>6</v>
      </c>
      <c r="CE33" s="9">
        <v>1.9</v>
      </c>
      <c r="CF33" s="30">
        <v>-32</v>
      </c>
      <c r="CG33" s="8"/>
      <c r="CH33" s="10"/>
      <c r="CI33" s="9"/>
      <c r="CJ33" s="10"/>
      <c r="CK33" s="32"/>
      <c r="CL33" s="32"/>
      <c r="CM33" s="32"/>
      <c r="CN33" s="31"/>
      <c r="CO33" s="10"/>
      <c r="CP33" s="10"/>
      <c r="CQ33" s="8"/>
      <c r="CR33" s="9"/>
      <c r="CS33" s="9"/>
      <c r="CT33" s="9"/>
      <c r="CU33" s="9"/>
      <c r="CV33" s="9"/>
    </row>
    <row r="34" spans="1:100" x14ac:dyDescent="0.4">
      <c r="A34" s="26">
        <v>6</v>
      </c>
      <c r="B34" s="40" t="s">
        <v>142</v>
      </c>
      <c r="C34" s="69" t="s">
        <v>137</v>
      </c>
      <c r="D34" s="120" t="s">
        <v>407</v>
      </c>
      <c r="E34" s="76">
        <v>45.251805555555556</v>
      </c>
      <c r="F34" s="42">
        <v>37.439166666666665</v>
      </c>
      <c r="G34" s="8">
        <v>29</v>
      </c>
      <c r="H34" s="41">
        <v>40001</v>
      </c>
      <c r="I34" s="9">
        <f>(O34+P34+Z34/1000+AA34/1000+T34/1000+U34/1000+Y34/1000/32*96)/1000</f>
        <v>12.912112954082474</v>
      </c>
      <c r="J34" s="8"/>
      <c r="K34" s="68">
        <f>2200/(LOG(((U34/1000)^0.5)/(R34/1000000))+5.47)-273</f>
        <v>51.121271477813423</v>
      </c>
      <c r="L34" s="8"/>
      <c r="M34" s="8"/>
      <c r="N34" s="9">
        <v>1.3</v>
      </c>
      <c r="O34" s="29">
        <v>2562</v>
      </c>
      <c r="P34" s="30">
        <v>5532</v>
      </c>
      <c r="Q34" s="30">
        <f>Y34/32*96/1000</f>
        <v>48.252192703698995</v>
      </c>
      <c r="R34" s="30">
        <v>115592.13149766895</v>
      </c>
      <c r="S34" s="30">
        <v>120183.96558446056</v>
      </c>
      <c r="T34" s="30">
        <v>4754746.2770837741</v>
      </c>
      <c r="U34" s="30">
        <v>5767.9614006651664</v>
      </c>
      <c r="V34" s="30">
        <v>427.63275232964992</v>
      </c>
      <c r="W34" s="30">
        <v>4390.6281605314971</v>
      </c>
      <c r="X34" s="30">
        <v>4170.7053036889656</v>
      </c>
      <c r="Y34" s="30">
        <v>16084.064234566333</v>
      </c>
      <c r="Z34" s="30">
        <v>6087.2688957257642</v>
      </c>
      <c r="AA34" s="30">
        <v>3259.2539986100614</v>
      </c>
      <c r="AB34" s="9"/>
      <c r="AC34" s="9"/>
      <c r="AD34" s="9">
        <v>10.73428</v>
      </c>
      <c r="AE34" s="30">
        <v>905.61447078314006</v>
      </c>
      <c r="AF34" s="9"/>
      <c r="AG34" s="9"/>
      <c r="AH34" s="9"/>
      <c r="AI34" s="9"/>
      <c r="AJ34" s="9"/>
      <c r="AK34" s="9">
        <v>34.951682693557423</v>
      </c>
      <c r="AL34" s="30">
        <v>58742.740100000003</v>
      </c>
      <c r="AM34" s="30">
        <v>512.15764102564106</v>
      </c>
      <c r="AN34" s="30">
        <v>369.80346153846153</v>
      </c>
      <c r="AO34" s="30">
        <v>314.25173260073257</v>
      </c>
      <c r="AP34" s="30">
        <v>2442.2088888888893</v>
      </c>
      <c r="AQ34" s="30"/>
      <c r="AR34" s="30">
        <v>64692.782078431374</v>
      </c>
      <c r="AS34" s="30"/>
      <c r="AT34" s="8"/>
      <c r="AU34" s="30"/>
      <c r="AV34" s="30">
        <v>485.72220769230768</v>
      </c>
      <c r="AW34" s="30">
        <v>1490.2530476190475</v>
      </c>
      <c r="AX34" s="9">
        <v>70.849473684210537</v>
      </c>
      <c r="AY34" s="30">
        <v>271.96437237762234</v>
      </c>
      <c r="AZ34" s="30">
        <v>794.42818181818188</v>
      </c>
      <c r="BA34" s="30">
        <v>101.38521739130437</v>
      </c>
      <c r="BB34" s="30">
        <v>439.86352272727277</v>
      </c>
      <c r="BC34" s="9">
        <v>89.339615384615385</v>
      </c>
      <c r="BD34" s="9"/>
      <c r="BE34" s="9">
        <v>82.418076923076939</v>
      </c>
      <c r="BF34" s="9">
        <v>14.738461538461538</v>
      </c>
      <c r="BG34" s="9">
        <v>61.223166666666664</v>
      </c>
      <c r="BH34" s="9">
        <v>11.1568</v>
      </c>
      <c r="BI34" s="9">
        <v>34.529600000000002</v>
      </c>
      <c r="BJ34" s="30"/>
      <c r="BK34" s="9">
        <v>28.300747826086955</v>
      </c>
      <c r="BL34" s="30"/>
      <c r="BM34" s="9">
        <v>33.115999999999993</v>
      </c>
      <c r="BN34" s="30"/>
      <c r="BO34" s="30">
        <v>1004.2811538461538</v>
      </c>
      <c r="BP34" s="30"/>
      <c r="BQ34" s="30"/>
      <c r="BR34" s="30"/>
      <c r="BS34" s="30"/>
      <c r="BT34" s="9">
        <v>93.18692307692308</v>
      </c>
      <c r="BU34" s="30">
        <v>3330.303885714286</v>
      </c>
      <c r="BV34" s="30"/>
      <c r="BW34" s="9">
        <f t="shared" ref="BW34:BW45" si="8">O34/61/(O34/61+P34/35.5+Q34/96*2)*100</f>
        <v>21.122909996061907</v>
      </c>
      <c r="BX34" s="9">
        <f t="shared" ref="BX34:BX45" si="9">P34/35.5/(O34/61+P34/35.5+Q34/96*2)*100</f>
        <v>78.371521192632102</v>
      </c>
      <c r="BY34" s="9">
        <f t="shared" ref="BY34:BY45" si="10">Q34/96*2/(O34/61+P34/35.5+Q34/96*2)*100</f>
        <v>0.50556881130598652</v>
      </c>
      <c r="BZ34" s="9">
        <f>T34/23/(T34/23+U34/24.31*2+AA34/40.08*2)*100</f>
        <v>99.692729898555896</v>
      </c>
      <c r="CA34" s="9">
        <f>AA34/40.08*2/(T34/23+U34/24.31*2+AA34/40.08*2)*100</f>
        <v>7.8430406742363179E-2</v>
      </c>
      <c r="CB34" s="9">
        <f>U34/24.31*2/(T34/23+U34/24.31*2+AA34/40.08*2)*100</f>
        <v>0.22883969470173302</v>
      </c>
      <c r="CC34" s="9"/>
      <c r="CD34" s="9">
        <v>3.3</v>
      </c>
      <c r="CE34" s="9">
        <v>0.9</v>
      </c>
      <c r="CF34" s="30">
        <v>-39</v>
      </c>
      <c r="CG34" s="30"/>
      <c r="CH34" s="10">
        <v>96.27</v>
      </c>
      <c r="CI34" s="10">
        <v>0.45741999999999999</v>
      </c>
      <c r="CJ34" s="32">
        <v>3.2006000000000001E-3</v>
      </c>
      <c r="CK34" s="32">
        <v>1.7983999999999999E-3</v>
      </c>
      <c r="CL34" s="32"/>
      <c r="CM34" s="32"/>
      <c r="CN34" s="31">
        <v>4.5901999999999998E-2</v>
      </c>
      <c r="CO34" s="10">
        <v>1.0168999999999999</v>
      </c>
      <c r="CP34" s="10">
        <v>97.795000000000002</v>
      </c>
      <c r="CQ34" s="8"/>
      <c r="CR34" s="118">
        <v>-5.15</v>
      </c>
      <c r="CS34" s="121">
        <v>-72.5</v>
      </c>
      <c r="CT34" s="121">
        <v>-4.4000000000000004</v>
      </c>
      <c r="CU34" s="9"/>
      <c r="CV34" s="123">
        <v>-216.34</v>
      </c>
    </row>
    <row r="35" spans="1:100" x14ac:dyDescent="0.4">
      <c r="A35" s="26">
        <v>6</v>
      </c>
      <c r="B35" s="40" t="s">
        <v>143</v>
      </c>
      <c r="C35" s="69" t="s">
        <v>144</v>
      </c>
      <c r="D35" s="120" t="s">
        <v>409</v>
      </c>
      <c r="E35" s="76">
        <v>45.251805555555556</v>
      </c>
      <c r="F35" s="42">
        <v>37.439166666666665</v>
      </c>
      <c r="G35" s="8">
        <v>29</v>
      </c>
      <c r="H35" s="41">
        <v>40001</v>
      </c>
      <c r="I35" s="9"/>
      <c r="J35" s="8"/>
      <c r="K35" s="68"/>
      <c r="L35" s="8"/>
      <c r="M35" s="8"/>
      <c r="N35" s="9">
        <v>0.7</v>
      </c>
      <c r="O35" s="29">
        <v>2196</v>
      </c>
      <c r="P35" s="30">
        <v>7943</v>
      </c>
      <c r="Q35" s="30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9">
        <f t="shared" si="8"/>
        <v>13.859668148790805</v>
      </c>
      <c r="BX35" s="9">
        <f t="shared" si="9"/>
        <v>86.140331851209197</v>
      </c>
      <c r="BY35" s="9">
        <f t="shared" si="10"/>
        <v>0</v>
      </c>
      <c r="BZ35" s="9"/>
      <c r="CA35" s="9"/>
      <c r="CB35" s="9"/>
      <c r="CC35" s="9"/>
      <c r="CD35" s="9">
        <v>-4.8</v>
      </c>
      <c r="CE35" s="9">
        <v>4.7</v>
      </c>
      <c r="CF35" s="30">
        <v>-20</v>
      </c>
      <c r="CG35" s="8"/>
      <c r="CH35" s="10"/>
      <c r="CI35" s="9"/>
      <c r="CJ35" s="10"/>
      <c r="CK35" s="32"/>
      <c r="CL35" s="32"/>
      <c r="CM35" s="32"/>
      <c r="CN35" s="31"/>
      <c r="CO35" s="10"/>
      <c r="CP35" s="10"/>
      <c r="CQ35" s="8"/>
      <c r="CR35" s="9"/>
      <c r="CS35" s="121">
        <v>-70</v>
      </c>
      <c r="CT35" s="121">
        <v>-4.9000000000000004</v>
      </c>
      <c r="CU35" s="9"/>
      <c r="CV35" s="9"/>
    </row>
    <row r="36" spans="1:100" x14ac:dyDescent="0.4">
      <c r="A36" s="26">
        <v>6</v>
      </c>
      <c r="B36" s="40" t="s">
        <v>145</v>
      </c>
      <c r="C36" s="71" t="s">
        <v>146</v>
      </c>
      <c r="D36" s="120" t="s">
        <v>407</v>
      </c>
      <c r="E36" s="76">
        <v>45.249670000000002</v>
      </c>
      <c r="F36" s="42">
        <v>37.436554999999998</v>
      </c>
      <c r="G36" s="30">
        <v>24.734476000000001</v>
      </c>
      <c r="H36" s="41">
        <v>44017</v>
      </c>
      <c r="I36" s="9">
        <f>(O36+P36+Z36/1000+AA36/1000+T36/1000+U36/1000+Y36/1000/32*96)/1000</f>
        <v>22.98148862518628</v>
      </c>
      <c r="J36" s="27">
        <v>29.5</v>
      </c>
      <c r="K36" s="68">
        <f>2200/(LOG(((U36/1000)^0.5)/(R36/1000000))+5.47)-273</f>
        <v>50.612572554021881</v>
      </c>
      <c r="L36" s="8">
        <v>33</v>
      </c>
      <c r="M36" s="8">
        <v>8.83</v>
      </c>
      <c r="N36" s="109" t="s">
        <v>66</v>
      </c>
      <c r="O36" s="110">
        <v>4239.5</v>
      </c>
      <c r="P36" s="124">
        <v>9509</v>
      </c>
      <c r="Q36" s="30">
        <f>Y36/32*96/1000</f>
        <v>182.89688693086939</v>
      </c>
      <c r="R36" s="30">
        <v>95730.794416038611</v>
      </c>
      <c r="S36" s="30">
        <v>222071.97852057507</v>
      </c>
      <c r="T36" s="30">
        <v>9035076.0067010652</v>
      </c>
      <c r="U36" s="30">
        <v>4155.3580102919905</v>
      </c>
      <c r="V36" s="9">
        <v>81.565714285714279</v>
      </c>
      <c r="W36" s="30">
        <v>2373.7907787500294</v>
      </c>
      <c r="X36" s="30">
        <v>15354.292265453954</v>
      </c>
      <c r="Y36" s="30">
        <v>60965.628976956468</v>
      </c>
      <c r="Z36" s="30">
        <v>9027.738590520783</v>
      </c>
      <c r="AA36" s="30">
        <v>1832.6349535312975</v>
      </c>
      <c r="AB36" s="9">
        <v>10.036141601667563</v>
      </c>
      <c r="AC36" s="9"/>
      <c r="AD36" s="9">
        <v>25.434285714285711</v>
      </c>
      <c r="AE36" s="30">
        <v>1032.5708558775909</v>
      </c>
      <c r="AF36" s="9"/>
      <c r="AG36" s="9">
        <v>42.513341578115501</v>
      </c>
      <c r="AH36" s="9"/>
      <c r="AI36" s="9">
        <v>52.86571428571429</v>
      </c>
      <c r="AJ36" s="9"/>
      <c r="AK36" s="9">
        <v>95.600144470177497</v>
      </c>
      <c r="AL36" s="30">
        <v>153044.10523809525</v>
      </c>
      <c r="AM36" s="30">
        <v>520.77142857142849</v>
      </c>
      <c r="AN36" s="30">
        <v>440.10714285714289</v>
      </c>
      <c r="AO36" s="30">
        <v>175.16081632653058</v>
      </c>
      <c r="AP36" s="30">
        <v>34049.75</v>
      </c>
      <c r="AQ36" s="30">
        <v>122.80285714285714</v>
      </c>
      <c r="AR36" s="30">
        <v>130504.08500000002</v>
      </c>
      <c r="AS36" s="30"/>
      <c r="AT36" s="30"/>
      <c r="AU36" s="30">
        <v>1110.8</v>
      </c>
      <c r="AV36" s="30">
        <v>3140.7542857142857</v>
      </c>
      <c r="AW36" s="30">
        <v>1108.9104</v>
      </c>
      <c r="AX36" s="30"/>
      <c r="AY36" s="30">
        <v>162.99693877551024</v>
      </c>
      <c r="AZ36" s="30">
        <v>370.17142857142852</v>
      </c>
      <c r="BA36" s="30">
        <v>26.131428571428575</v>
      </c>
      <c r="BB36" s="30">
        <v>190.928</v>
      </c>
      <c r="BC36" s="30">
        <v>59.425714285714292</v>
      </c>
      <c r="BD36" s="30"/>
      <c r="BE36" s="30">
        <v>287</v>
      </c>
      <c r="BF36" s="30"/>
      <c r="BG36" s="30">
        <v>57.542857142857144</v>
      </c>
      <c r="BH36" s="30"/>
      <c r="BI36" s="30">
        <v>23.53142857142857</v>
      </c>
      <c r="BJ36" s="30"/>
      <c r="BK36" s="30">
        <v>37.628571428571426</v>
      </c>
      <c r="BL36" s="30"/>
      <c r="BM36" s="30">
        <v>304.52571428571429</v>
      </c>
      <c r="BN36" s="30"/>
      <c r="BO36" s="30">
        <v>5346.482857142857</v>
      </c>
      <c r="BP36" s="30"/>
      <c r="BQ36" s="30"/>
      <c r="BR36" s="30"/>
      <c r="BS36" s="30"/>
      <c r="BT36" s="9">
        <v>56.421485714285716</v>
      </c>
      <c r="BU36" s="30">
        <v>6972.7988571428577</v>
      </c>
      <c r="BV36" s="30"/>
      <c r="BW36" s="9">
        <f t="shared" si="8"/>
        <v>20.371105455457677</v>
      </c>
      <c r="BX36" s="9">
        <f t="shared" si="9"/>
        <v>78.512044493240268</v>
      </c>
      <c r="BY36" s="9">
        <f t="shared" si="10"/>
        <v>1.1168500513020561</v>
      </c>
      <c r="BZ36" s="9">
        <f>T36/23/(T36/23+U36/24.31*2+AA36/40.08*2)*100</f>
        <v>99.88981590812493</v>
      </c>
      <c r="CA36" s="9">
        <f>AA36/40.08*2/(T36/23+U36/24.31*2+AA36/40.08*2)*100</f>
        <v>2.3253883198676367E-2</v>
      </c>
      <c r="CB36" s="9">
        <f>U36/24.31*2/(T36/23+U36/24.31*2+AA36/40.08*2)*100</f>
        <v>8.6930208676399501E-2</v>
      </c>
      <c r="CC36" s="9"/>
      <c r="CD36" s="111">
        <v>10.8</v>
      </c>
      <c r="CE36" s="112">
        <v>3.2</v>
      </c>
      <c r="CF36" s="113">
        <v>-13</v>
      </c>
      <c r="CG36" s="30"/>
      <c r="CH36" s="62">
        <v>89.76</v>
      </c>
      <c r="CI36" s="114">
        <v>1.3959999999999999</v>
      </c>
      <c r="CJ36" s="62">
        <v>3.7880000000000001E-3</v>
      </c>
      <c r="CK36" s="8"/>
      <c r="CL36" s="8"/>
      <c r="CM36" s="62">
        <v>0.24349999999999999</v>
      </c>
      <c r="CN36" s="8"/>
      <c r="CO36" s="62">
        <v>6.66</v>
      </c>
      <c r="CP36" s="10">
        <f t="shared" ref="CP36:CP37" si="11">SUM(CH36:CO36)</f>
        <v>98.063288</v>
      </c>
      <c r="CQ36" s="30"/>
      <c r="CR36" s="9"/>
      <c r="CS36" s="63">
        <v>-62.5</v>
      </c>
      <c r="CT36" s="9"/>
      <c r="CU36" s="9"/>
      <c r="CV36" s="9"/>
    </row>
    <row r="37" spans="1:100" x14ac:dyDescent="0.4">
      <c r="A37" s="26">
        <v>6</v>
      </c>
      <c r="B37" s="40" t="s">
        <v>147</v>
      </c>
      <c r="C37" s="71" t="s">
        <v>148</v>
      </c>
      <c r="D37" s="43" t="s">
        <v>408</v>
      </c>
      <c r="E37" s="76">
        <v>45.253754000000001</v>
      </c>
      <c r="F37" s="42">
        <v>37.435403999999998</v>
      </c>
      <c r="G37" s="30">
        <v>26.914883</v>
      </c>
      <c r="H37" s="41">
        <v>44017</v>
      </c>
      <c r="I37" s="9">
        <f>(O37+P37+Z37/1000+AA37/1000+T37/1000+U37/1000+Y37/1000/32*96)/1000</f>
        <v>13.094389721773663</v>
      </c>
      <c r="J37" s="25"/>
      <c r="K37" s="68">
        <f>2200/(LOG(((U37/1000)^0.5)/(R37/1000000))+5.47)-273</f>
        <v>45.27374709543227</v>
      </c>
      <c r="L37" s="8">
        <v>-39</v>
      </c>
      <c r="M37" s="8">
        <v>8.8800000000000008</v>
      </c>
      <c r="N37" s="109" t="s">
        <v>66</v>
      </c>
      <c r="O37" s="110">
        <v>2729.75</v>
      </c>
      <c r="P37" s="124">
        <v>5258</v>
      </c>
      <c r="Q37" s="30">
        <f>Y37/32*96/1000</f>
        <v>19.960590547016956</v>
      </c>
      <c r="R37" s="30">
        <v>81517.425426607064</v>
      </c>
      <c r="S37" s="30">
        <v>124483.03488558842</v>
      </c>
      <c r="T37" s="30">
        <v>5073879.0869779596</v>
      </c>
      <c r="U37" s="30">
        <v>5094.2253083771093</v>
      </c>
      <c r="V37" s="9">
        <v>22.142857142857146</v>
      </c>
      <c r="W37" s="30">
        <v>3412.0010158612886</v>
      </c>
      <c r="X37" s="30">
        <v>5654.8073573288866</v>
      </c>
      <c r="Y37" s="30">
        <v>6653.5301823389855</v>
      </c>
      <c r="Z37" s="30">
        <v>6243.1201935083245</v>
      </c>
      <c r="AA37" s="30">
        <v>1462.6987468022407</v>
      </c>
      <c r="AB37" s="9"/>
      <c r="AC37" s="9"/>
      <c r="AD37" s="9">
        <v>11.237142857142857</v>
      </c>
      <c r="AE37" s="30">
        <v>202.16341501018022</v>
      </c>
      <c r="AF37" s="9"/>
      <c r="AG37" s="9">
        <v>11.281056404732094</v>
      </c>
      <c r="AH37" s="9"/>
      <c r="AI37" s="9">
        <v>65.55285714285715</v>
      </c>
      <c r="AJ37" s="9"/>
      <c r="AK37" s="9">
        <v>62.858689620017458</v>
      </c>
      <c r="AL37" s="30">
        <v>82782.052619047608</v>
      </c>
      <c r="AM37" s="30">
        <v>387.18571428571431</v>
      </c>
      <c r="AN37" s="30">
        <v>326.65357142857147</v>
      </c>
      <c r="AO37" s="30">
        <v>114.85755102040815</v>
      </c>
      <c r="AP37" s="30">
        <v>5162.875</v>
      </c>
      <c r="AQ37" s="9"/>
      <c r="AR37" s="30">
        <v>74622.04250000001</v>
      </c>
      <c r="AS37" s="30"/>
      <c r="AT37" s="30"/>
      <c r="AU37" s="30">
        <v>475.00000000000006</v>
      </c>
      <c r="AV37" s="30">
        <v>1315.1771428571431</v>
      </c>
      <c r="AW37" s="30">
        <v>1049.2872</v>
      </c>
      <c r="AX37" s="9"/>
      <c r="AY37" s="30">
        <v>100.17275510204081</v>
      </c>
      <c r="AZ37" s="30">
        <v>199.08571428571429</v>
      </c>
      <c r="BA37" s="9">
        <v>22.025714285714283</v>
      </c>
      <c r="BB37" s="30">
        <v>130.18</v>
      </c>
      <c r="BC37" s="9">
        <v>32.112857142857145</v>
      </c>
      <c r="BD37" s="9"/>
      <c r="BE37" s="9">
        <v>25.534285714285716</v>
      </c>
      <c r="BF37" s="9"/>
      <c r="BG37" s="9">
        <v>22.55142857142857</v>
      </c>
      <c r="BH37" s="9"/>
      <c r="BI37" s="9">
        <v>19.685714285714283</v>
      </c>
      <c r="BJ37" s="9"/>
      <c r="BK37" s="9">
        <v>16.64</v>
      </c>
      <c r="BL37" s="9"/>
      <c r="BM37" s="9">
        <v>96.92285714285714</v>
      </c>
      <c r="BN37" s="9"/>
      <c r="BO37" s="30">
        <v>2091.017142857143</v>
      </c>
      <c r="BP37" s="30"/>
      <c r="BQ37" s="9"/>
      <c r="BR37" s="9"/>
      <c r="BS37" s="9"/>
      <c r="BT37" s="9">
        <v>13.505142857142861</v>
      </c>
      <c r="BU37" s="30">
        <v>2246.7194285714286</v>
      </c>
      <c r="BV37" s="30"/>
      <c r="BW37" s="9">
        <f t="shared" si="8"/>
        <v>23.153115828949481</v>
      </c>
      <c r="BX37" s="9">
        <f t="shared" si="9"/>
        <v>76.631730602638356</v>
      </c>
      <c r="BY37" s="9">
        <f t="shared" si="10"/>
        <v>0.21515356841215905</v>
      </c>
      <c r="BZ37" s="9">
        <f>T37/23/(T37/23+U37/24.31*2+AA37/40.08*2)*100</f>
        <v>99.777429111798696</v>
      </c>
      <c r="CA37" s="9">
        <f>AA37/40.08*2/(T37/23+U37/24.31*2+AA37/40.08*2)*100</f>
        <v>3.3012408020459391E-2</v>
      </c>
      <c r="CB37" s="9">
        <f>U37/24.31*2/(T37/23+U37/24.31*2+AA37/40.08*2)*100</f>
        <v>0.18955848018084295</v>
      </c>
      <c r="CC37" s="9"/>
      <c r="CD37" s="111">
        <v>7.4</v>
      </c>
      <c r="CE37" s="112">
        <v>1.8</v>
      </c>
      <c r="CF37" s="113">
        <v>-29</v>
      </c>
      <c r="CG37" s="30"/>
      <c r="CH37" s="8">
        <v>86.87</v>
      </c>
      <c r="CI37" s="10">
        <v>0.73109999999999997</v>
      </c>
      <c r="CJ37" s="32">
        <v>2.7369999999999998E-3</v>
      </c>
      <c r="CK37" s="8"/>
      <c r="CL37" s="10">
        <v>0.45250000000000001</v>
      </c>
      <c r="CM37" s="31">
        <v>7.5819999999999999E-2</v>
      </c>
      <c r="CN37" s="8"/>
      <c r="CO37" s="8">
        <v>9.0410000000000004</v>
      </c>
      <c r="CP37" s="10">
        <f t="shared" si="11"/>
        <v>97.173156999999989</v>
      </c>
      <c r="CQ37" s="30"/>
      <c r="CR37" s="9"/>
      <c r="CS37" s="63">
        <v>-64</v>
      </c>
      <c r="CT37" s="9"/>
      <c r="CU37" s="9"/>
      <c r="CV37" s="9"/>
    </row>
    <row r="38" spans="1:100" x14ac:dyDescent="0.4">
      <c r="A38" s="26">
        <v>7</v>
      </c>
      <c r="B38" s="40" t="s">
        <v>149</v>
      </c>
      <c r="C38" s="72" t="s">
        <v>150</v>
      </c>
      <c r="D38" s="125" t="s">
        <v>410</v>
      </c>
      <c r="E38" s="76">
        <v>45.278083333333335</v>
      </c>
      <c r="F38" s="42">
        <v>37.387444444444441</v>
      </c>
      <c r="G38" s="8">
        <v>72</v>
      </c>
      <c r="H38" s="41">
        <v>37130</v>
      </c>
      <c r="I38" s="9">
        <f>(O38+P38+Z38/1000+AA38/1000+T38/1000+U38/1000+Y38/1000/32*96)/1000</f>
        <v>11.578378220680992</v>
      </c>
      <c r="J38" s="8"/>
      <c r="K38" s="68">
        <f>2200/(LOG(((U38/1000)^0.5)/(R38/1000000))+5.47)-273</f>
        <v>46.724466775309111</v>
      </c>
      <c r="L38" s="8"/>
      <c r="M38" s="27">
        <v>7.81</v>
      </c>
      <c r="N38" s="8">
        <v>0.48</v>
      </c>
      <c r="O38" s="29">
        <v>2385.1</v>
      </c>
      <c r="P38" s="30">
        <v>5289.5</v>
      </c>
      <c r="Q38" s="30">
        <f>Y38/32*96/1000</f>
        <v>27.592002318168657</v>
      </c>
      <c r="R38" s="30">
        <v>217886.59713946879</v>
      </c>
      <c r="S38" s="30">
        <v>30794.005815253862</v>
      </c>
      <c r="T38" s="30">
        <v>3812400</v>
      </c>
      <c r="U38" s="30">
        <v>31500</v>
      </c>
      <c r="V38" s="30">
        <v>176.5809088723251</v>
      </c>
      <c r="W38" s="30">
        <v>5071.1180124223592</v>
      </c>
      <c r="X38" s="30">
        <v>968.78751500600231</v>
      </c>
      <c r="Y38" s="30">
        <v>9197.3341060562179</v>
      </c>
      <c r="Z38" s="30">
        <v>14079</v>
      </c>
      <c r="AA38" s="30">
        <v>18207.218362823525</v>
      </c>
      <c r="AB38" s="9">
        <v>1.8162162162162163</v>
      </c>
      <c r="AC38" s="9" t="s">
        <v>96</v>
      </c>
      <c r="AD38" s="30">
        <v>31.347485889210358</v>
      </c>
      <c r="AE38" s="30">
        <v>189.96808025535796</v>
      </c>
      <c r="AF38" s="10">
        <v>0.72028983657863066</v>
      </c>
      <c r="AG38" s="9">
        <v>13.227845014991571</v>
      </c>
      <c r="AH38" s="30" t="s">
        <v>71</v>
      </c>
      <c r="AI38" s="9">
        <v>7.8992405903707317</v>
      </c>
      <c r="AJ38" s="9" t="s">
        <v>97</v>
      </c>
      <c r="AK38" s="9">
        <v>12.853522684502723</v>
      </c>
      <c r="AL38" s="30">
        <v>61447.36666951915</v>
      </c>
      <c r="AM38" s="30">
        <v>1974</v>
      </c>
      <c r="AN38" s="30">
        <v>2679</v>
      </c>
      <c r="AO38" s="9" t="s">
        <v>74</v>
      </c>
      <c r="AP38" s="30">
        <v>6151.9947654280313</v>
      </c>
      <c r="AQ38" s="9" t="s">
        <v>74</v>
      </c>
      <c r="AR38" s="30">
        <v>25403.896875000002</v>
      </c>
      <c r="AS38" s="9" t="s">
        <v>69</v>
      </c>
      <c r="AT38" s="9" t="s">
        <v>69</v>
      </c>
      <c r="AU38" s="9" t="s">
        <v>74</v>
      </c>
      <c r="AV38" s="9">
        <v>2.108647980903684</v>
      </c>
      <c r="AW38" s="30">
        <v>7717.4283333333324</v>
      </c>
      <c r="AX38" s="30">
        <v>197.82043397847383</v>
      </c>
      <c r="AY38" s="9" t="s">
        <v>76</v>
      </c>
      <c r="AZ38" s="10">
        <v>0.13591249659136653</v>
      </c>
      <c r="BA38" s="31">
        <v>1.8773309641945391E-2</v>
      </c>
      <c r="BB38" s="10">
        <v>0.18104249699304287</v>
      </c>
      <c r="BC38" s="10" t="s">
        <v>79</v>
      </c>
      <c r="BD38" s="10" t="s">
        <v>80</v>
      </c>
      <c r="BE38" s="10" t="s">
        <v>81</v>
      </c>
      <c r="BF38" s="10" t="s">
        <v>82</v>
      </c>
      <c r="BG38" s="10" t="s">
        <v>81</v>
      </c>
      <c r="BH38" s="10" t="s">
        <v>82</v>
      </c>
      <c r="BI38" s="10" t="s">
        <v>81</v>
      </c>
      <c r="BJ38" s="10" t="s">
        <v>82</v>
      </c>
      <c r="BK38" s="10" t="s">
        <v>77</v>
      </c>
      <c r="BL38" s="10" t="s">
        <v>78</v>
      </c>
      <c r="BM38" s="10" t="s">
        <v>81</v>
      </c>
      <c r="BN38" s="10" t="s">
        <v>81</v>
      </c>
      <c r="BO38" s="10" t="s">
        <v>83</v>
      </c>
      <c r="BP38" s="31" t="s">
        <v>77</v>
      </c>
      <c r="BQ38" s="10" t="s">
        <v>80</v>
      </c>
      <c r="BR38" s="9">
        <v>12.343694092439247</v>
      </c>
      <c r="BS38" s="9" t="s">
        <v>78</v>
      </c>
      <c r="BT38" s="9" t="s">
        <v>84</v>
      </c>
      <c r="BU38" s="30">
        <v>1502.4250000000002</v>
      </c>
      <c r="BV38" s="30"/>
      <c r="BW38" s="9">
        <f t="shared" si="8"/>
        <v>20.723484578843262</v>
      </c>
      <c r="BX38" s="9">
        <f t="shared" si="9"/>
        <v>78.971846604799126</v>
      </c>
      <c r="BY38" s="9">
        <f t="shared" si="10"/>
        <v>0.30466881635761706</v>
      </c>
      <c r="BZ38" s="9">
        <f>T38/23/(T38/23+U38/24.31*2+AA38/40.08*2)*100</f>
        <v>97.932092383251288</v>
      </c>
      <c r="CA38" s="9">
        <f>AA38/40.08*2/(T38/23+U38/24.31*2+AA38/40.08*2)*100</f>
        <v>0.53678490238141185</v>
      </c>
      <c r="CB38" s="9">
        <f>U38/24.31*2/(T38/23+U38/24.31*2+AA38/40.08*2)*100</f>
        <v>1.5311227143672888</v>
      </c>
      <c r="CC38" s="9"/>
      <c r="CD38" s="8"/>
      <c r="CE38" s="9">
        <v>1.1555296432958584</v>
      </c>
      <c r="CF38" s="30">
        <v>-33.992957356871763</v>
      </c>
      <c r="CG38" s="30"/>
      <c r="CH38" s="8">
        <v>97.49</v>
      </c>
      <c r="CI38" s="10">
        <v>1.9</v>
      </c>
      <c r="CJ38" s="8"/>
      <c r="CK38" s="31"/>
      <c r="CL38" s="31"/>
      <c r="CM38" s="31"/>
      <c r="CN38" s="8">
        <v>1E-3</v>
      </c>
      <c r="CO38" s="8">
        <v>0.61</v>
      </c>
      <c r="CP38" s="10">
        <f>SUM(CH38:CO38)</f>
        <v>100.001</v>
      </c>
      <c r="CQ38" s="8"/>
      <c r="CR38" s="9"/>
      <c r="CS38" s="9"/>
      <c r="CT38" s="9"/>
      <c r="CU38" s="9"/>
      <c r="CV38" s="9"/>
    </row>
    <row r="39" spans="1:100" x14ac:dyDescent="0.4">
      <c r="A39" s="26">
        <v>8</v>
      </c>
      <c r="B39" s="44" t="s">
        <v>152</v>
      </c>
      <c r="C39" s="69" t="s">
        <v>153</v>
      </c>
      <c r="D39" s="26" t="s">
        <v>411</v>
      </c>
      <c r="E39" s="78">
        <v>45.180747603465498</v>
      </c>
      <c r="F39" s="51">
        <v>37.637556997135697</v>
      </c>
      <c r="G39" s="8">
        <v>50</v>
      </c>
      <c r="H39" s="41">
        <v>42998</v>
      </c>
      <c r="I39" s="9">
        <f>(O39+P39+Z39/1000+AA39/1000+T39/1000+U39/1000+Y39/1000/32*96)/1000</f>
        <v>16.238746406086868</v>
      </c>
      <c r="J39" s="27">
        <v>30.4</v>
      </c>
      <c r="K39" s="68">
        <f>2200/(LOG(((U39/1000)^0.5)/(R39/1000000))+5.47)-273</f>
        <v>57.148300933828637</v>
      </c>
      <c r="L39" s="8"/>
      <c r="M39" s="8" t="s">
        <v>154</v>
      </c>
      <c r="N39" s="8"/>
      <c r="O39" s="29">
        <v>5002</v>
      </c>
      <c r="P39" s="30">
        <v>6028</v>
      </c>
      <c r="Q39" s="30">
        <f>Y39/32*96/1000</f>
        <v>14.486957754081635</v>
      </c>
      <c r="R39" s="30">
        <v>488852.430810955</v>
      </c>
      <c r="S39" s="30">
        <v>49663.826207281701</v>
      </c>
      <c r="T39" s="30">
        <v>5093792.3957627472</v>
      </c>
      <c r="U39" s="30">
        <v>58304.171183374783</v>
      </c>
      <c r="V39" s="9">
        <v>19.094810000000003</v>
      </c>
      <c r="W39" s="30">
        <v>12443.795493178748</v>
      </c>
      <c r="X39" s="30"/>
      <c r="Y39" s="30">
        <v>4828.9859180272115</v>
      </c>
      <c r="Z39" s="30">
        <v>32152.834381031043</v>
      </c>
      <c r="AA39" s="30">
        <v>10010.047005633498</v>
      </c>
      <c r="AB39" s="9">
        <v>13.871735324751677</v>
      </c>
      <c r="AC39" s="9"/>
      <c r="AD39" s="9">
        <v>1.70912</v>
      </c>
      <c r="AE39" s="30"/>
      <c r="AF39" s="9"/>
      <c r="AG39" s="9">
        <v>8.958737256027181</v>
      </c>
      <c r="AH39" s="9">
        <v>10.854299999999999</v>
      </c>
      <c r="AI39" s="9">
        <v>12.07</v>
      </c>
      <c r="AJ39" s="9"/>
      <c r="AK39" s="9">
        <v>12.768723501819359</v>
      </c>
      <c r="AL39" s="30">
        <v>87696.653055555536</v>
      </c>
      <c r="AM39" s="30">
        <v>1059.0566106939023</v>
      </c>
      <c r="AN39" s="30">
        <v>848.1329646017698</v>
      </c>
      <c r="AO39" s="30"/>
      <c r="AP39" s="30">
        <v>6839.5760000000009</v>
      </c>
      <c r="AQ39" s="30"/>
      <c r="AR39" s="30">
        <v>8101.389916666667</v>
      </c>
      <c r="AS39" s="30"/>
      <c r="AT39" s="30"/>
      <c r="AU39" s="30">
        <v>670.2800000000002</v>
      </c>
      <c r="AV39" s="30">
        <v>1123.404</v>
      </c>
      <c r="AW39" s="30">
        <v>9980.8909999999996</v>
      </c>
      <c r="AX39" s="30">
        <v>105.188</v>
      </c>
      <c r="AY39" s="9">
        <v>67.135629582806558</v>
      </c>
      <c r="AZ39" s="30">
        <v>118.4295</v>
      </c>
      <c r="BA39" s="9">
        <v>22.631</v>
      </c>
      <c r="BB39" s="9">
        <v>59.773600000000002</v>
      </c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>
        <v>80.315500000000014</v>
      </c>
      <c r="BN39" s="30"/>
      <c r="BO39" s="30"/>
      <c r="BP39" s="30"/>
      <c r="BQ39" s="9">
        <v>28.178274999999996</v>
      </c>
      <c r="BR39" s="10">
        <v>0.41599999999999993</v>
      </c>
      <c r="BS39" s="9"/>
      <c r="BT39" s="9"/>
      <c r="BU39" s="30">
        <v>1078.12753</v>
      </c>
      <c r="BV39" s="30"/>
      <c r="BW39" s="9">
        <f t="shared" si="8"/>
        <v>32.526177913102757</v>
      </c>
      <c r="BX39" s="9">
        <f t="shared" si="9"/>
        <v>67.354105276600279</v>
      </c>
      <c r="BY39" s="9">
        <f t="shared" si="10"/>
        <v>0.11971681029696718</v>
      </c>
      <c r="BZ39" s="9">
        <f>T39/23/(T39/23+U39/24.31*2+AA39/40.08*2)*100</f>
        <v>97.664447410927096</v>
      </c>
      <c r="CA39" s="9">
        <f>AA39/40.08*2/(T39/23+U39/24.31*2+AA39/40.08*2)*100</f>
        <v>0.2202731143245785</v>
      </c>
      <c r="CB39" s="9">
        <f>U39/24.31*2/(T39/23+U39/24.31*2+AA39/40.08*2)*100</f>
        <v>2.115279474748323</v>
      </c>
      <c r="CC39" s="9"/>
      <c r="CD39" s="8">
        <v>25.9</v>
      </c>
      <c r="CE39" s="9">
        <v>7.2</v>
      </c>
      <c r="CF39" s="30">
        <v>-8.9</v>
      </c>
      <c r="CG39" s="30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9"/>
      <c r="CS39" s="9"/>
      <c r="CT39" s="9"/>
      <c r="CU39" s="9"/>
      <c r="CV39" s="9"/>
    </row>
    <row r="40" spans="1:100" x14ac:dyDescent="0.4">
      <c r="A40" s="26">
        <v>9</v>
      </c>
      <c r="B40" s="40" t="s">
        <v>155</v>
      </c>
      <c r="C40" s="69" t="s">
        <v>156</v>
      </c>
      <c r="D40" s="26" t="s">
        <v>412</v>
      </c>
      <c r="E40" s="76">
        <v>45.129777777777775</v>
      </c>
      <c r="F40" s="42">
        <v>36.921194444444446</v>
      </c>
      <c r="G40" s="8">
        <v>47</v>
      </c>
      <c r="H40" s="41">
        <v>37127</v>
      </c>
      <c r="I40" s="9">
        <f>(O40+P40+Z40/1000+AA40/1000+T40/1000+U40/1000+Y40/1000/32*96)/1000</f>
        <v>11.976606628141274</v>
      </c>
      <c r="J40" s="8"/>
      <c r="K40" s="68">
        <f>2200/(LOG(((U40/1000)^0.5)/(R40/1000000))+5.47)-273</f>
        <v>62.406731234532458</v>
      </c>
      <c r="L40" s="8"/>
      <c r="M40" s="27">
        <v>8.1199999999999992</v>
      </c>
      <c r="N40" s="8">
        <v>0.65</v>
      </c>
      <c r="O40" s="29">
        <v>4941</v>
      </c>
      <c r="P40" s="30">
        <v>3372.5</v>
      </c>
      <c r="Q40" s="30">
        <f>Y40/32*96/1000</f>
        <v>6.1625615763546815</v>
      </c>
      <c r="R40" s="30">
        <v>643886</v>
      </c>
      <c r="S40" s="30">
        <v>79982.106911205556</v>
      </c>
      <c r="T40" s="30">
        <v>3525600</v>
      </c>
      <c r="U40" s="30">
        <v>62520</v>
      </c>
      <c r="V40" s="30">
        <v>212.3587400817504</v>
      </c>
      <c r="W40" s="30">
        <v>14673.913043478258</v>
      </c>
      <c r="X40" s="30">
        <v>2134.7539015606239</v>
      </c>
      <c r="Y40" s="30">
        <v>2054.1871921182269</v>
      </c>
      <c r="Z40" s="30">
        <v>28585.5</v>
      </c>
      <c r="AA40" s="30">
        <v>40238.566564920227</v>
      </c>
      <c r="AB40" s="9">
        <v>4.2681081081081089</v>
      </c>
      <c r="AC40" s="9" t="s">
        <v>96</v>
      </c>
      <c r="AD40" s="30">
        <v>57.19</v>
      </c>
      <c r="AE40" s="30">
        <v>354.58276333789325</v>
      </c>
      <c r="AF40" s="9">
        <v>1.0541232311000073</v>
      </c>
      <c r="AG40" s="9">
        <v>11.693353295533541</v>
      </c>
      <c r="AH40" s="30" t="s">
        <v>71</v>
      </c>
      <c r="AI40" s="9">
        <v>4.8819800854233124</v>
      </c>
      <c r="AJ40" s="9" t="s">
        <v>97</v>
      </c>
      <c r="AK40" s="9" t="s">
        <v>72</v>
      </c>
      <c r="AL40" s="30">
        <v>61386.110873402991</v>
      </c>
      <c r="AM40" s="30">
        <v>1580</v>
      </c>
      <c r="AN40" s="30">
        <v>864.5</v>
      </c>
      <c r="AO40" s="9" t="s">
        <v>74</v>
      </c>
      <c r="AP40" s="30">
        <v>10907.379190746156</v>
      </c>
      <c r="AQ40" s="9" t="s">
        <v>74</v>
      </c>
      <c r="AR40" s="30">
        <v>1673.5968750000002</v>
      </c>
      <c r="AS40" s="9" t="s">
        <v>74</v>
      </c>
      <c r="AT40" s="9" t="s">
        <v>69</v>
      </c>
      <c r="AU40" s="9" t="s">
        <v>74</v>
      </c>
      <c r="AV40" s="9" t="s">
        <v>74</v>
      </c>
      <c r="AW40" s="30">
        <v>16226.533333333333</v>
      </c>
      <c r="AX40" s="30"/>
      <c r="AY40" s="9" t="s">
        <v>76</v>
      </c>
      <c r="AZ40" s="9" t="s">
        <v>77</v>
      </c>
      <c r="BA40" s="9" t="s">
        <v>78</v>
      </c>
      <c r="BB40" s="9" t="s">
        <v>79</v>
      </c>
      <c r="BC40" s="9" t="s">
        <v>79</v>
      </c>
      <c r="BD40" s="9" t="s">
        <v>80</v>
      </c>
      <c r="BE40" s="9" t="s">
        <v>81</v>
      </c>
      <c r="BF40" s="9" t="s">
        <v>82</v>
      </c>
      <c r="BG40" s="9" t="s">
        <v>81</v>
      </c>
      <c r="BH40" s="9" t="s">
        <v>82</v>
      </c>
      <c r="BI40" s="9" t="s">
        <v>81</v>
      </c>
      <c r="BJ40" s="9" t="s">
        <v>82</v>
      </c>
      <c r="BK40" s="9" t="s">
        <v>77</v>
      </c>
      <c r="BL40" s="9" t="s">
        <v>78</v>
      </c>
      <c r="BM40" s="31" t="s">
        <v>81</v>
      </c>
      <c r="BN40" s="9" t="s">
        <v>81</v>
      </c>
      <c r="BO40" s="31" t="s">
        <v>83</v>
      </c>
      <c r="BP40" s="31" t="s">
        <v>77</v>
      </c>
      <c r="BQ40" s="10" t="s">
        <v>80</v>
      </c>
      <c r="BR40" s="10">
        <v>0.44637048570110149</v>
      </c>
      <c r="BS40" s="10" t="s">
        <v>78</v>
      </c>
      <c r="BT40" s="10" t="s">
        <v>84</v>
      </c>
      <c r="BU40" s="30">
        <v>247.82500000000002</v>
      </c>
      <c r="BV40" s="30"/>
      <c r="BW40" s="9">
        <f t="shared" si="8"/>
        <v>45.989179551274766</v>
      </c>
      <c r="BX40" s="9">
        <f t="shared" si="9"/>
        <v>53.937926634211152</v>
      </c>
      <c r="BY40" s="9">
        <f t="shared" si="10"/>
        <v>7.289381451408497E-2</v>
      </c>
      <c r="BZ40" s="9">
        <f>T40/23/(T40/23+U40/24.31*2+AA40/40.08*2)*100</f>
        <v>95.542542542133376</v>
      </c>
      <c r="CA40" s="9">
        <f>AA40/40.08*2/(T40/23+U40/24.31*2+AA40/40.08*2)*100</f>
        <v>1.2515159157357114</v>
      </c>
      <c r="CB40" s="9">
        <f>U40/24.31*2/(T40/23+U40/24.31*2+AA40/40.08*2)*100</f>
        <v>3.2059415421309119</v>
      </c>
      <c r="CC40" s="9"/>
      <c r="CD40" s="8"/>
      <c r="CE40" s="9">
        <v>2.7924128693249712</v>
      </c>
      <c r="CF40" s="30">
        <v>-29.872484050463086</v>
      </c>
      <c r="CG40" s="30"/>
      <c r="CH40" s="8">
        <v>87.59</v>
      </c>
      <c r="CI40" s="8">
        <v>11.89</v>
      </c>
      <c r="CJ40" s="8"/>
      <c r="CK40" s="31"/>
      <c r="CL40" s="31"/>
      <c r="CM40" s="31"/>
      <c r="CN40" s="8">
        <v>1E-3</v>
      </c>
      <c r="CO40" s="8">
        <v>0.52</v>
      </c>
      <c r="CP40" s="10">
        <f>SUM(CH40:CO40)</f>
        <v>100.001</v>
      </c>
      <c r="CQ40" s="8"/>
      <c r="CR40" s="9"/>
      <c r="CS40" s="9"/>
      <c r="CT40" s="9"/>
      <c r="CU40" s="9"/>
      <c r="CV40" s="9"/>
    </row>
    <row r="41" spans="1:100" x14ac:dyDescent="0.4">
      <c r="A41" s="26">
        <v>9</v>
      </c>
      <c r="B41" s="40" t="s">
        <v>157</v>
      </c>
      <c r="C41" s="69" t="s">
        <v>156</v>
      </c>
      <c r="D41" s="26" t="s">
        <v>412</v>
      </c>
      <c r="E41" s="76">
        <v>45.129777777777775</v>
      </c>
      <c r="F41" s="42">
        <v>36.921194444444446</v>
      </c>
      <c r="G41" s="8">
        <v>39</v>
      </c>
      <c r="H41" s="41">
        <v>40000</v>
      </c>
      <c r="I41" s="9"/>
      <c r="J41" s="8"/>
      <c r="K41" s="68"/>
      <c r="L41" s="8"/>
      <c r="M41" s="8"/>
      <c r="N41" s="9">
        <v>0.3</v>
      </c>
      <c r="O41" s="29">
        <v>4270</v>
      </c>
      <c r="P41" s="30">
        <v>3191</v>
      </c>
      <c r="Q41" s="30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9">
        <f t="shared" si="8"/>
        <v>43.780831571529248</v>
      </c>
      <c r="BX41" s="9">
        <f t="shared" si="9"/>
        <v>56.219168428470759</v>
      </c>
      <c r="BY41" s="9">
        <f t="shared" si="10"/>
        <v>0</v>
      </c>
      <c r="BZ41" s="9"/>
      <c r="CA41" s="9"/>
      <c r="CB41" s="9"/>
      <c r="CC41" s="9"/>
      <c r="CD41" s="9">
        <v>24.1</v>
      </c>
      <c r="CE41" s="9">
        <v>3.7</v>
      </c>
      <c r="CF41" s="30">
        <v>-37</v>
      </c>
      <c r="CG41" s="8"/>
      <c r="CH41" s="10">
        <v>79.561000000000007</v>
      </c>
      <c r="CI41" s="10">
        <v>15.919</v>
      </c>
      <c r="CJ41" s="32">
        <v>9.7617000000000005E-4</v>
      </c>
      <c r="CK41" s="32">
        <v>7.0830000000000003E-4</v>
      </c>
      <c r="CL41" s="32"/>
      <c r="CM41" s="32"/>
      <c r="CN41" s="31">
        <v>1.9618E-2</v>
      </c>
      <c r="CO41" s="10">
        <v>0.94579999999999997</v>
      </c>
      <c r="CP41" s="10">
        <f t="shared" ref="CP41:CP44" si="12">SUM(CH41:CO41)</f>
        <v>96.447102470000004</v>
      </c>
      <c r="CQ41" s="8"/>
      <c r="CR41" s="9"/>
      <c r="CS41" s="126">
        <v>-50.5</v>
      </c>
      <c r="CT41" s="126">
        <v>11.6</v>
      </c>
      <c r="CU41" s="9"/>
      <c r="CV41" s="9"/>
    </row>
    <row r="42" spans="1:100" x14ac:dyDescent="0.4">
      <c r="A42" s="26">
        <v>9</v>
      </c>
      <c r="B42" s="40" t="s">
        <v>158</v>
      </c>
      <c r="C42" s="69" t="s">
        <v>156</v>
      </c>
      <c r="D42" s="26" t="s">
        <v>412</v>
      </c>
      <c r="E42" s="76">
        <v>45.129795000000001</v>
      </c>
      <c r="F42" s="42">
        <v>36.921168000000002</v>
      </c>
      <c r="G42" s="30">
        <v>40.488925999999999</v>
      </c>
      <c r="H42" s="41">
        <v>44019</v>
      </c>
      <c r="I42" s="9">
        <f>(O42+P42+Z42/1000+AA42/1000+T42/1000+U42/1000+Y42/1000/32*96)/1000</f>
        <v>11.881158952967157</v>
      </c>
      <c r="J42" s="25"/>
      <c r="K42" s="68">
        <f>2200/(LOG(((U42/1000)^0.5)/(R42/1000000))+5.47)-273</f>
        <v>62.173888137007964</v>
      </c>
      <c r="L42" s="8"/>
      <c r="M42" s="8"/>
      <c r="N42" s="109" t="s">
        <v>66</v>
      </c>
      <c r="O42" s="110">
        <v>4569.916666666667</v>
      </c>
      <c r="P42" s="30">
        <v>3308</v>
      </c>
      <c r="Q42" s="30">
        <f>Y42/32*96/1000</f>
        <v>13.118212262502787</v>
      </c>
      <c r="R42" s="30">
        <v>676861.26536392875</v>
      </c>
      <c r="S42" s="30">
        <v>87099.131161863537</v>
      </c>
      <c r="T42" s="30">
        <v>3844019.4572131513</v>
      </c>
      <c r="U42" s="30">
        <v>70552.692870057988</v>
      </c>
      <c r="V42" s="9"/>
      <c r="W42" s="30">
        <v>16482.072357029068</v>
      </c>
      <c r="X42" s="9">
        <v>1307.9079795360462</v>
      </c>
      <c r="Y42" s="30">
        <v>4372.7374208342626</v>
      </c>
      <c r="Z42" s="30">
        <v>33437.588279119584</v>
      </c>
      <c r="AA42" s="30">
        <v>42114.335675658163</v>
      </c>
      <c r="AB42" s="10"/>
      <c r="AC42" s="9"/>
      <c r="AD42" s="9">
        <v>34.32714285714286</v>
      </c>
      <c r="AE42" s="30"/>
      <c r="AF42" s="10"/>
      <c r="AG42" s="9"/>
      <c r="AH42" s="9"/>
      <c r="AI42" s="9"/>
      <c r="AJ42" s="9"/>
      <c r="AK42" s="9"/>
      <c r="AL42" s="30">
        <v>51042.052619047616</v>
      </c>
      <c r="AM42" s="30">
        <v>1590.5669638951967</v>
      </c>
      <c r="AN42" s="30">
        <v>982.36588348100986</v>
      </c>
      <c r="AO42" s="9"/>
      <c r="AP42" s="30">
        <v>3005.875</v>
      </c>
      <c r="AQ42" s="9"/>
      <c r="AR42" s="30">
        <v>1009.3925</v>
      </c>
      <c r="AS42" s="9"/>
      <c r="AT42" s="9"/>
      <c r="AU42" s="9"/>
      <c r="AV42" s="9">
        <v>90.857142857142861</v>
      </c>
      <c r="AW42" s="30">
        <v>11900.647199999999</v>
      </c>
      <c r="AX42" s="9">
        <v>162.47428571428571</v>
      </c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30"/>
      <c r="BN42" s="9"/>
      <c r="BO42" s="30"/>
      <c r="BP42" s="30"/>
      <c r="BQ42" s="9"/>
      <c r="BR42" s="10"/>
      <c r="BS42" s="9"/>
      <c r="BT42" s="9"/>
      <c r="BU42" s="9">
        <v>64.217028571428571</v>
      </c>
      <c r="BV42" s="9"/>
      <c r="BW42" s="9">
        <f t="shared" si="8"/>
        <v>44.494449448931071</v>
      </c>
      <c r="BX42" s="9">
        <f t="shared" si="9"/>
        <v>55.343234746737934</v>
      </c>
      <c r="BY42" s="9">
        <f t="shared" si="10"/>
        <v>0.16231580433100054</v>
      </c>
      <c r="BZ42" s="9">
        <f>T42/23/(T42/23+U42/24.31*2+AA42/40.08*2)*100</f>
        <v>95.483285513410152</v>
      </c>
      <c r="CA42" s="9">
        <f>AA42/40.08*2/(T42/23+U42/24.31*2+AA42/40.08*2)*100</f>
        <v>1.2006097069428823</v>
      </c>
      <c r="CB42" s="9">
        <f>U42/24.31*2/(T42/23+U42/24.31*2+AA42/40.08*2)*100</f>
        <v>3.3161047796469547</v>
      </c>
      <c r="CC42" s="9"/>
      <c r="CD42" s="111">
        <v>25.7</v>
      </c>
      <c r="CE42" s="112">
        <v>2.7</v>
      </c>
      <c r="CF42" s="113">
        <v>-25</v>
      </c>
      <c r="CG42" s="9"/>
      <c r="CH42" s="8">
        <v>86.65</v>
      </c>
      <c r="CI42" s="10">
        <v>7.6630000000000003</v>
      </c>
      <c r="CJ42" s="64">
        <v>9.4189999999999996E-4</v>
      </c>
      <c r="CK42" s="31">
        <v>2.6030000000000001E-2</v>
      </c>
      <c r="CL42" s="8"/>
      <c r="CM42" s="8">
        <v>9.078E-2</v>
      </c>
      <c r="CN42" s="8"/>
      <c r="CO42" s="8">
        <v>5.0449999999999999</v>
      </c>
      <c r="CP42" s="10">
        <f t="shared" si="12"/>
        <v>99.475751900000006</v>
      </c>
      <c r="CQ42" s="30"/>
      <c r="CR42" s="9">
        <v>-2.7633333333333332</v>
      </c>
      <c r="CS42" s="63">
        <v>-50.1</v>
      </c>
      <c r="CT42" s="63">
        <v>9.1999999999999993</v>
      </c>
      <c r="CU42" s="63">
        <v>-37.200000000000003</v>
      </c>
      <c r="CV42" s="63"/>
    </row>
    <row r="43" spans="1:100" x14ac:dyDescent="0.4">
      <c r="A43" s="26">
        <v>10</v>
      </c>
      <c r="B43" s="40" t="s">
        <v>159</v>
      </c>
      <c r="C43" s="69" t="s">
        <v>160</v>
      </c>
      <c r="D43" s="26" t="s">
        <v>413</v>
      </c>
      <c r="E43" s="76">
        <v>45.11866666666667</v>
      </c>
      <c r="F43" s="42">
        <v>36.897750000000002</v>
      </c>
      <c r="G43" s="8">
        <v>13</v>
      </c>
      <c r="H43" s="41">
        <v>37127</v>
      </c>
      <c r="I43" s="9">
        <f>(O43+P43+Z43/1000+AA43/1000+T43/1000+U43/1000+Y43/1000/32*96)/1000</f>
        <v>13.097290191680178</v>
      </c>
      <c r="J43" s="8"/>
      <c r="K43" s="68">
        <f>2200/(LOG(((U43/1000)^0.5)/(R43/1000000))+5.47)-273</f>
        <v>74.522265809442729</v>
      </c>
      <c r="L43" s="8"/>
      <c r="M43" s="27">
        <v>8.1</v>
      </c>
      <c r="N43" s="8">
        <v>0.73</v>
      </c>
      <c r="O43" s="29">
        <v>6100</v>
      </c>
      <c r="P43" s="30">
        <v>2946.5</v>
      </c>
      <c r="Q43" s="30">
        <f>Y43/32*96/1000</f>
        <v>15.647638365691106</v>
      </c>
      <c r="R43" s="30">
        <v>1208620</v>
      </c>
      <c r="S43" s="30">
        <v>343099.97763363906</v>
      </c>
      <c r="T43" s="30">
        <v>3894000</v>
      </c>
      <c r="U43" s="30">
        <v>76849.104051380767</v>
      </c>
      <c r="V43" s="30">
        <v>272.75787448905987</v>
      </c>
      <c r="W43" s="30">
        <v>15009.316770186333</v>
      </c>
      <c r="X43" s="30">
        <v>1676.4705882352939</v>
      </c>
      <c r="Y43" s="30">
        <v>5215.8794552303689</v>
      </c>
      <c r="Z43" s="30">
        <v>49903.5</v>
      </c>
      <c r="AA43" s="30">
        <v>14389.949263107032</v>
      </c>
      <c r="AB43" s="9">
        <v>4.5405405405405403</v>
      </c>
      <c r="AC43" s="9">
        <v>2.5589092737325507</v>
      </c>
      <c r="AD43" s="30">
        <v>11.4</v>
      </c>
      <c r="AE43" s="30">
        <v>301.13999088007296</v>
      </c>
      <c r="AF43" s="9">
        <v>1.3353810718107186</v>
      </c>
      <c r="AG43" s="9">
        <v>12.064747395284304</v>
      </c>
      <c r="AH43" s="30" t="s">
        <v>71</v>
      </c>
      <c r="AI43" s="9">
        <v>36.649591864571676</v>
      </c>
      <c r="AJ43" s="9" t="s">
        <v>97</v>
      </c>
      <c r="AK43" s="9">
        <v>10.67788679316596</v>
      </c>
      <c r="AL43" s="30">
        <v>42449.441068989225</v>
      </c>
      <c r="AM43" s="30">
        <v>1124</v>
      </c>
      <c r="AN43" s="30">
        <v>845.4</v>
      </c>
      <c r="AO43" s="9" t="s">
        <v>74</v>
      </c>
      <c r="AP43" s="30">
        <v>18845.031045953496</v>
      </c>
      <c r="AQ43" s="9" t="s">
        <v>74</v>
      </c>
      <c r="AR43" s="30">
        <v>6278.046875</v>
      </c>
      <c r="AS43" s="9" t="s">
        <v>74</v>
      </c>
      <c r="AT43" s="9" t="s">
        <v>69</v>
      </c>
      <c r="AU43" s="9" t="s">
        <v>74</v>
      </c>
      <c r="AV43" s="10">
        <v>0.94508911144109387</v>
      </c>
      <c r="AW43" s="30">
        <v>23899.203333333338</v>
      </c>
      <c r="AX43" s="30">
        <v>161.54423738221755</v>
      </c>
      <c r="AY43" s="9" t="s">
        <v>76</v>
      </c>
      <c r="AZ43" s="9" t="s">
        <v>77</v>
      </c>
      <c r="BA43" s="9" t="s">
        <v>78</v>
      </c>
      <c r="BB43" s="9" t="s">
        <v>79</v>
      </c>
      <c r="BC43" s="9" t="s">
        <v>79</v>
      </c>
      <c r="BD43" s="9" t="s">
        <v>80</v>
      </c>
      <c r="BE43" s="9" t="s">
        <v>81</v>
      </c>
      <c r="BF43" s="9" t="s">
        <v>82</v>
      </c>
      <c r="BG43" s="9" t="s">
        <v>81</v>
      </c>
      <c r="BH43" s="9" t="s">
        <v>82</v>
      </c>
      <c r="BI43" s="9" t="s">
        <v>81</v>
      </c>
      <c r="BJ43" s="9" t="s">
        <v>82</v>
      </c>
      <c r="BK43" s="9" t="s">
        <v>77</v>
      </c>
      <c r="BL43" s="9" t="s">
        <v>78</v>
      </c>
      <c r="BM43" s="31">
        <v>6.4662096482817497E-2</v>
      </c>
      <c r="BN43" s="9" t="s">
        <v>81</v>
      </c>
      <c r="BO43" s="31" t="s">
        <v>83</v>
      </c>
      <c r="BP43" s="31" t="s">
        <v>77</v>
      </c>
      <c r="BQ43" s="10" t="s">
        <v>80</v>
      </c>
      <c r="BR43" s="9">
        <v>1.4184627386628081</v>
      </c>
      <c r="BS43" s="10" t="s">
        <v>78</v>
      </c>
      <c r="BT43" s="10" t="s">
        <v>84</v>
      </c>
      <c r="BU43" s="30">
        <v>880.07500000000005</v>
      </c>
      <c r="BV43" s="30"/>
      <c r="BW43" s="9">
        <f t="shared" si="8"/>
        <v>54.54763869262699</v>
      </c>
      <c r="BX43" s="9">
        <f t="shared" si="9"/>
        <v>45.274540114880395</v>
      </c>
      <c r="BY43" s="9">
        <f t="shared" si="10"/>
        <v>0.1778211924926264</v>
      </c>
      <c r="BZ43" s="9">
        <f>T43/23/(T43/23+U43/24.31*2+AA43/40.08*2)*100</f>
        <v>96.00754476347997</v>
      </c>
      <c r="CA43" s="9">
        <f>AA43/40.08*2/(T43/23+U43/24.31*2+AA43/40.08*2)*100</f>
        <v>0.40719158824755397</v>
      </c>
      <c r="CB43" s="9">
        <f>U43/24.31*2/(T43/23+U43/24.31*2+AA43/40.08*2)*100</f>
        <v>3.5852636482724791</v>
      </c>
      <c r="CC43" s="9"/>
      <c r="CD43" s="8"/>
      <c r="CE43" s="9">
        <v>8.5242226634720968</v>
      </c>
      <c r="CF43" s="30">
        <v>-22.617402947685108</v>
      </c>
      <c r="CG43" s="30"/>
      <c r="CH43" s="8">
        <v>93.88</v>
      </c>
      <c r="CI43" s="8">
        <v>5.45</v>
      </c>
      <c r="CJ43" s="8"/>
      <c r="CK43" s="31"/>
      <c r="CL43" s="31"/>
      <c r="CM43" s="31"/>
      <c r="CN43" s="8">
        <v>1E-3</v>
      </c>
      <c r="CO43" s="8">
        <v>0.67</v>
      </c>
      <c r="CP43" s="10">
        <f t="shared" si="12"/>
        <v>100.001</v>
      </c>
      <c r="CQ43" s="8"/>
      <c r="CR43" s="9"/>
      <c r="CS43" s="9">
        <v>-38.700000000000003</v>
      </c>
      <c r="CT43" s="9">
        <v>-1.5</v>
      </c>
      <c r="CU43" s="9"/>
      <c r="CV43" s="9"/>
    </row>
    <row r="44" spans="1:100" x14ac:dyDescent="0.4">
      <c r="A44" s="26">
        <v>10</v>
      </c>
      <c r="B44" s="40" t="s">
        <v>161</v>
      </c>
      <c r="C44" s="69" t="s">
        <v>160</v>
      </c>
      <c r="D44" s="26" t="s">
        <v>413</v>
      </c>
      <c r="E44" s="76">
        <v>45.11866666666667</v>
      </c>
      <c r="F44" s="42">
        <v>36.897750000000002</v>
      </c>
      <c r="G44" s="8">
        <v>12</v>
      </c>
      <c r="H44" s="41">
        <v>40000</v>
      </c>
      <c r="I44" s="9">
        <f>(O44+P44+Z44/1000+AA44/1000+T44/1000+U44/1000+Y44/1000/32*96)/1000</f>
        <v>12.919521960905303</v>
      </c>
      <c r="J44" s="27">
        <v>20</v>
      </c>
      <c r="K44" s="68">
        <f>2200/(LOG(((U44/1000)^0.5)/(R44/1000000))+5.47)-273</f>
        <v>83.364218284062417</v>
      </c>
      <c r="L44" s="8">
        <v>154</v>
      </c>
      <c r="M44" s="8">
        <v>7.94</v>
      </c>
      <c r="N44" s="9">
        <v>0.3</v>
      </c>
      <c r="O44" s="29">
        <v>6222</v>
      </c>
      <c r="P44" s="30">
        <v>2624</v>
      </c>
      <c r="Q44" s="30">
        <f>Y44/32*96/1000</f>
        <v>35.549665442649157</v>
      </c>
      <c r="R44" s="30">
        <v>1997556.2571255337</v>
      </c>
      <c r="S44" s="30">
        <v>361140.06021275697</v>
      </c>
      <c r="T44" s="30">
        <v>3831886.5128096547</v>
      </c>
      <c r="U44" s="30">
        <v>101839.59231974521</v>
      </c>
      <c r="V44" s="30">
        <v>119.05641131410553</v>
      </c>
      <c r="W44" s="30">
        <v>17732.29292632268</v>
      </c>
      <c r="X44" s="30">
        <v>1331.7650907023276</v>
      </c>
      <c r="Y44" s="30">
        <v>11849.888480883052</v>
      </c>
      <c r="Z44" s="30">
        <v>79675.985102187726</v>
      </c>
      <c r="AA44" s="30">
        <v>24570.205231066269</v>
      </c>
      <c r="AB44" s="9"/>
      <c r="AC44" s="9"/>
      <c r="AD44" s="9">
        <v>3.7046800000000002</v>
      </c>
      <c r="AE44" s="30">
        <v>162.70750993076553</v>
      </c>
      <c r="AF44" s="30"/>
      <c r="AG44" s="30"/>
      <c r="AH44" s="30"/>
      <c r="AI44" s="9">
        <v>7.694615384615382</v>
      </c>
      <c r="AJ44" s="9"/>
      <c r="AK44" s="9">
        <v>8.4620657053221269</v>
      </c>
      <c r="AL44" s="30">
        <v>24021.9401</v>
      </c>
      <c r="AM44" s="30">
        <v>1362.1527825595967</v>
      </c>
      <c r="AN44" s="30">
        <v>946.49872363166332</v>
      </c>
      <c r="AO44" s="30"/>
      <c r="AP44" s="30">
        <v>10120.208888888888</v>
      </c>
      <c r="AQ44" s="30"/>
      <c r="AR44" s="30">
        <v>4671.1820784313732</v>
      </c>
      <c r="AS44" s="30"/>
      <c r="AT44" s="8"/>
      <c r="AU44" s="30"/>
      <c r="AV44" s="30">
        <v>462.99720769230765</v>
      </c>
      <c r="AW44" s="30">
        <v>21193.947047619044</v>
      </c>
      <c r="AX44" s="30">
        <v>252.80947368421053</v>
      </c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>
        <v>792.13588571428568</v>
      </c>
      <c r="BV44" s="30"/>
      <c r="BW44" s="9">
        <f t="shared" si="8"/>
        <v>57.739298929230486</v>
      </c>
      <c r="BX44" s="9">
        <f t="shared" si="9"/>
        <v>41.841458268517201</v>
      </c>
      <c r="BY44" s="9">
        <f t="shared" si="10"/>
        <v>0.41924280225229865</v>
      </c>
      <c r="BZ44" s="9">
        <f>T44/23/(T44/23+U44/24.31*2+AA44/40.08*2)*100</f>
        <v>94.549363767722483</v>
      </c>
      <c r="CA44" s="9">
        <f>AA44/40.08*2/(T44/23+U44/24.31*2+AA44/40.08*2)*100</f>
        <v>0.69580072253030822</v>
      </c>
      <c r="CB44" s="9">
        <f>U44/24.31*2/(T44/23+U44/24.31*2+AA44/40.08*2)*100</f>
        <v>4.754835509747207</v>
      </c>
      <c r="CC44" s="9"/>
      <c r="CD44" s="9">
        <v>30.8</v>
      </c>
      <c r="CE44" s="9">
        <v>10.1</v>
      </c>
      <c r="CF44" s="30">
        <v>-26</v>
      </c>
      <c r="CG44" s="30"/>
      <c r="CH44" s="10">
        <v>89.614000000000004</v>
      </c>
      <c r="CI44" s="10">
        <v>6.3978000000000002</v>
      </c>
      <c r="CJ44" s="32">
        <v>3.7382000000000001E-3</v>
      </c>
      <c r="CK44" s="32">
        <v>2.0463999999999999E-3</v>
      </c>
      <c r="CL44" s="32"/>
      <c r="CM44" s="32"/>
      <c r="CN44" s="31">
        <v>3.0641999999999999E-2</v>
      </c>
      <c r="CO44" s="10">
        <v>0.96482000000000001</v>
      </c>
      <c r="CP44" s="10">
        <f t="shared" si="12"/>
        <v>97.01304660000001</v>
      </c>
      <c r="CQ44" s="8"/>
      <c r="CR44" s="118"/>
      <c r="CS44" s="126"/>
      <c r="CT44" s="126"/>
      <c r="CU44" s="9"/>
      <c r="CV44" s="9"/>
    </row>
    <row r="45" spans="1:100" x14ac:dyDescent="0.4">
      <c r="A45" s="26">
        <v>10</v>
      </c>
      <c r="B45" s="40" t="s">
        <v>162</v>
      </c>
      <c r="C45" s="69" t="s">
        <v>160</v>
      </c>
      <c r="D45" s="26" t="s">
        <v>413</v>
      </c>
      <c r="E45" s="76">
        <v>45.11866666666667</v>
      </c>
      <c r="F45" s="42">
        <v>36.897750000000002</v>
      </c>
      <c r="G45" s="8">
        <v>12</v>
      </c>
      <c r="H45" s="41">
        <v>40000</v>
      </c>
      <c r="I45" s="9">
        <f>(O45+P45+Z45/1000+AA45/1000+T45/1000+U45/1000+Y45/1000/32*96)/1000</f>
        <v>14.54045659199911</v>
      </c>
      <c r="J45" s="8">
        <v>23.2</v>
      </c>
      <c r="K45" s="68">
        <f>2200/(LOG(((U45/1000)^0.5)/(R45/1000000))+5.47)-273</f>
        <v>80.444409197804532</v>
      </c>
      <c r="L45" s="8">
        <v>318</v>
      </c>
      <c r="M45" s="8">
        <v>8.27</v>
      </c>
      <c r="N45" s="9">
        <v>0.3</v>
      </c>
      <c r="O45" s="29">
        <v>6832</v>
      </c>
      <c r="P45" s="30">
        <v>3050</v>
      </c>
      <c r="Q45" s="30">
        <f>Y45/32*96/1000</f>
        <v>64.395576458624632</v>
      </c>
      <c r="R45" s="30">
        <v>1828033.0154022456</v>
      </c>
      <c r="S45" s="30">
        <v>404335.1740085379</v>
      </c>
      <c r="T45" s="30">
        <v>4410897.0287246807</v>
      </c>
      <c r="U45" s="30">
        <v>107866.04295946207</v>
      </c>
      <c r="V45" s="30">
        <v>106.02328940195488</v>
      </c>
      <c r="W45" s="30">
        <v>24052.358753986053</v>
      </c>
      <c r="X45" s="30">
        <v>1415.308272035908</v>
      </c>
      <c r="Y45" s="30">
        <v>21465.192152874879</v>
      </c>
      <c r="Z45" s="30">
        <v>55584.656752842333</v>
      </c>
      <c r="AA45" s="30">
        <v>19713.287103499708</v>
      </c>
      <c r="AB45" s="9"/>
      <c r="AC45" s="9"/>
      <c r="AD45" s="9">
        <v>22.914880000000004</v>
      </c>
      <c r="AE45" s="30">
        <v>103.35411449529741</v>
      </c>
      <c r="AF45" s="30"/>
      <c r="AG45" s="30"/>
      <c r="AH45" s="30"/>
      <c r="AI45" s="9">
        <v>3.9546153846153831</v>
      </c>
      <c r="AJ45" s="9"/>
      <c r="AK45" s="9">
        <v>5.9218956817927157</v>
      </c>
      <c r="AL45" s="30">
        <v>26663.740099999999</v>
      </c>
      <c r="AM45" s="30">
        <v>1307.6170933579385</v>
      </c>
      <c r="AN45" s="30">
        <v>864.63704214345159</v>
      </c>
      <c r="AO45" s="30">
        <v>136.02246644600768</v>
      </c>
      <c r="AP45" s="30">
        <v>5722.2088888888884</v>
      </c>
      <c r="AQ45" s="30"/>
      <c r="AR45" s="30">
        <v>3023.2220784313722</v>
      </c>
      <c r="AS45" s="30"/>
      <c r="AT45" s="8"/>
      <c r="AU45" s="30"/>
      <c r="AV45" s="30"/>
      <c r="AW45" s="30">
        <v>13147.587047619047</v>
      </c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9">
        <v>43.435999999999993</v>
      </c>
      <c r="BN45" s="30"/>
      <c r="BO45" s="30"/>
      <c r="BP45" s="30"/>
      <c r="BQ45" s="30"/>
      <c r="BR45" s="30"/>
      <c r="BS45" s="30"/>
      <c r="BT45" s="30"/>
      <c r="BU45" s="30">
        <v>1009.8038857142858</v>
      </c>
      <c r="BV45" s="30"/>
      <c r="BW45" s="9">
        <f t="shared" si="8"/>
        <v>56.208796718530252</v>
      </c>
      <c r="BX45" s="9">
        <f t="shared" si="9"/>
        <v>43.117914987806159</v>
      </c>
      <c r="BY45" s="9">
        <f t="shared" si="10"/>
        <v>0.67328829366357967</v>
      </c>
      <c r="BZ45" s="9">
        <f>T45/23/(T45/23+U45/24.31*2+AA45/40.08*2)*100</f>
        <v>95.111038371656832</v>
      </c>
      <c r="CA45" s="9">
        <f>AA45/40.08*2/(T45/23+U45/24.31*2+AA45/40.08*2)*100</f>
        <v>0.48785770622734603</v>
      </c>
      <c r="CB45" s="9">
        <f>U45/24.31*2/(T45/23+U45/24.31*2+AA45/40.08*2)*100</f>
        <v>4.4011039221158281</v>
      </c>
      <c r="CC45" s="9"/>
      <c r="CD45" s="9">
        <v>31.6</v>
      </c>
      <c r="CE45" s="9">
        <v>10.199999999999999</v>
      </c>
      <c r="CF45" s="30">
        <v>-28</v>
      </c>
      <c r="CG45" s="30"/>
      <c r="CH45" s="10"/>
      <c r="CI45" s="9"/>
      <c r="CJ45" s="10"/>
      <c r="CK45" s="32"/>
      <c r="CL45" s="32"/>
      <c r="CM45" s="32"/>
      <c r="CN45" s="31"/>
      <c r="CO45" s="10"/>
      <c r="CP45" s="10"/>
      <c r="CQ45" s="8"/>
      <c r="CR45" s="118">
        <v>-2.99</v>
      </c>
      <c r="CS45" s="121">
        <v>-48.1</v>
      </c>
      <c r="CT45" s="121">
        <v>22.8</v>
      </c>
      <c r="CU45" s="9"/>
      <c r="CV45" s="9"/>
    </row>
    <row r="46" spans="1:100" x14ac:dyDescent="0.4">
      <c r="A46" s="26">
        <v>10</v>
      </c>
      <c r="B46" s="40" t="s">
        <v>163</v>
      </c>
      <c r="C46" s="69" t="s">
        <v>160</v>
      </c>
      <c r="D46" s="26" t="s">
        <v>413</v>
      </c>
      <c r="E46" s="76">
        <v>45.119062999999997</v>
      </c>
      <c r="F46" s="42">
        <v>36.898584999999997</v>
      </c>
      <c r="G46" s="8">
        <v>10</v>
      </c>
      <c r="H46" s="41">
        <v>40000</v>
      </c>
      <c r="I46" s="9"/>
      <c r="J46" s="8"/>
      <c r="K46" s="68"/>
      <c r="L46" s="8"/>
      <c r="M46" s="8"/>
      <c r="N46" s="9"/>
      <c r="O46" s="29"/>
      <c r="P46" s="30"/>
      <c r="Q46" s="30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9"/>
      <c r="BX46" s="9"/>
      <c r="BY46" s="9"/>
      <c r="BZ46" s="9"/>
      <c r="CA46" s="9"/>
      <c r="CB46" s="9"/>
      <c r="CC46" s="9"/>
      <c r="CD46" s="9">
        <v>31.1</v>
      </c>
      <c r="CE46" s="9">
        <v>8.8000000000000007</v>
      </c>
      <c r="CF46" s="30">
        <v>-26</v>
      </c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9"/>
      <c r="CS46" s="9"/>
      <c r="CT46" s="9"/>
      <c r="CU46" s="9"/>
      <c r="CV46" s="9"/>
    </row>
    <row r="47" spans="1:100" x14ac:dyDescent="0.4">
      <c r="A47" s="26">
        <v>10</v>
      </c>
      <c r="B47" s="40" t="s">
        <v>164</v>
      </c>
      <c r="C47" s="69" t="s">
        <v>160</v>
      </c>
      <c r="D47" s="26" t="s">
        <v>413</v>
      </c>
      <c r="E47" s="76">
        <v>45.119062999999997</v>
      </c>
      <c r="F47" s="42">
        <v>36.898584999999997</v>
      </c>
      <c r="G47" s="8">
        <v>10</v>
      </c>
      <c r="H47" s="41">
        <v>40000</v>
      </c>
      <c r="I47" s="9">
        <f>(O47+P47+Z47/1000+AA47/1000+T47/1000+U47/1000+Y47/1000/32*96)/1000</f>
        <v>13.855488673139501</v>
      </c>
      <c r="J47" s="8"/>
      <c r="K47" s="68">
        <f>2200/(LOG(((U47/1000)^0.5)/(R47/1000000))+5.47)-273</f>
        <v>80.847624058347719</v>
      </c>
      <c r="L47" s="8">
        <v>-20</v>
      </c>
      <c r="M47" s="9">
        <v>8</v>
      </c>
      <c r="N47" s="9">
        <v>0.8</v>
      </c>
      <c r="O47" s="29">
        <v>6100</v>
      </c>
      <c r="P47" s="30">
        <v>3191</v>
      </c>
      <c r="Q47" s="30">
        <f>Y47/32*96/1000</f>
        <v>30.710563111732558</v>
      </c>
      <c r="R47" s="30">
        <v>1583145.3445237202</v>
      </c>
      <c r="S47" s="30">
        <v>383825.4347615529</v>
      </c>
      <c r="T47" s="30">
        <v>4408920.8836191688</v>
      </c>
      <c r="U47" s="30">
        <v>78301.939483481707</v>
      </c>
      <c r="V47" s="30">
        <v>109.29980747591716</v>
      </c>
      <c r="W47" s="30">
        <v>16017.112819700169</v>
      </c>
      <c r="X47" s="30">
        <v>4586.8041744393176</v>
      </c>
      <c r="Y47" s="30">
        <v>10236.854370577519</v>
      </c>
      <c r="Z47" s="30">
        <v>36399.09637162766</v>
      </c>
      <c r="AA47" s="30">
        <v>10156.190553489812</v>
      </c>
      <c r="AB47" s="9"/>
      <c r="AC47" s="9"/>
      <c r="AD47" s="9">
        <v>7.8860799999999998</v>
      </c>
      <c r="AE47" s="30">
        <v>1589.4967330215743</v>
      </c>
      <c r="AF47" s="30"/>
      <c r="AG47" s="30"/>
      <c r="AH47" s="30"/>
      <c r="AI47" s="9"/>
      <c r="AJ47" s="9"/>
      <c r="AK47" s="9">
        <v>21.795736293557422</v>
      </c>
      <c r="AL47" s="30">
        <v>24317.740100000003</v>
      </c>
      <c r="AM47" s="30">
        <v>710.65764102564106</v>
      </c>
      <c r="AN47" s="30">
        <v>494.50346153846158</v>
      </c>
      <c r="AO47" s="30">
        <v>121.72244688644687</v>
      </c>
      <c r="AP47" s="30">
        <v>17030.208888888887</v>
      </c>
      <c r="AQ47" s="30"/>
      <c r="AR47" s="30">
        <v>22589.582078431376</v>
      </c>
      <c r="AS47" s="30"/>
      <c r="AT47" s="8"/>
      <c r="AU47" s="30"/>
      <c r="AV47" s="30"/>
      <c r="AW47" s="30">
        <v>10212.087047619047</v>
      </c>
      <c r="AX47" s="30">
        <v>266.20947368421048</v>
      </c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>
        <v>118.886</v>
      </c>
      <c r="BN47" s="30"/>
      <c r="BO47" s="30"/>
      <c r="BP47" s="30"/>
      <c r="BQ47" s="30"/>
      <c r="BR47" s="30"/>
      <c r="BS47" s="30"/>
      <c r="BT47" s="30"/>
      <c r="BU47" s="30">
        <v>1184.0198857142857</v>
      </c>
      <c r="BV47" s="30"/>
      <c r="BW47" s="9">
        <f>O47/61/(O47/61+P47/35.5+Q47/96*2)*100</f>
        <v>52.485964279821886</v>
      </c>
      <c r="BX47" s="9">
        <f>P47/35.5/(O47/61+P47/35.5+Q47/96*2)*100</f>
        <v>47.178228737158207</v>
      </c>
      <c r="BY47" s="9">
        <f>Q47/96*2/(O47/61+P47/35.5+Q47/96*2)*100</f>
        <v>0.3358069830199189</v>
      </c>
      <c r="BZ47" s="9">
        <f>T47/23/(T47/23+U47/24.31*2+AA47/40.08*2)*100</f>
        <v>96.501854928363841</v>
      </c>
      <c r="CA47" s="9">
        <f>AA47/40.08*2/(T47/23+U47/24.31*2+AA47/40.08*2)*100</f>
        <v>0.25513163670215971</v>
      </c>
      <c r="CB47" s="9">
        <f>U47/24.31*2/(T47/23+U47/24.31*2+AA47/40.08*2)*100</f>
        <v>3.2430134349340003</v>
      </c>
      <c r="CC47" s="9"/>
      <c r="CD47" s="9">
        <v>30.3</v>
      </c>
      <c r="CE47" s="9">
        <v>8.9</v>
      </c>
      <c r="CF47" s="30">
        <v>-27</v>
      </c>
      <c r="CG47" s="30"/>
      <c r="CH47" s="10"/>
      <c r="CI47" s="9"/>
      <c r="CJ47" s="10"/>
      <c r="CK47" s="32"/>
      <c r="CL47" s="32"/>
      <c r="CM47" s="32"/>
      <c r="CN47" s="31"/>
      <c r="CO47" s="10"/>
      <c r="CP47" s="10"/>
      <c r="CQ47" s="8"/>
      <c r="CR47" s="9"/>
      <c r="CS47" s="117">
        <v>-44</v>
      </c>
      <c r="CT47" s="117">
        <v>21</v>
      </c>
      <c r="CU47" s="9"/>
      <c r="CV47" s="9"/>
    </row>
    <row r="48" spans="1:100" x14ac:dyDescent="0.4">
      <c r="A48" s="26">
        <v>10</v>
      </c>
      <c r="B48" s="40" t="s">
        <v>165</v>
      </c>
      <c r="C48" s="71" t="s">
        <v>160</v>
      </c>
      <c r="D48" s="26" t="s">
        <v>413</v>
      </c>
      <c r="E48" s="76">
        <v>45.119093999999997</v>
      </c>
      <c r="F48" s="42">
        <v>36.898617000000002</v>
      </c>
      <c r="G48" s="30">
        <v>8.2126540000000006</v>
      </c>
      <c r="H48" s="41">
        <v>44019</v>
      </c>
      <c r="I48" s="9">
        <f>(O48+P48+Z48/1000+AA48/1000+T48/1000+U48/1000+Y48/1000/32*96)/1000</f>
        <v>12.718461979782999</v>
      </c>
      <c r="J48" s="27">
        <v>20</v>
      </c>
      <c r="K48" s="68">
        <f>2200/(LOG(((U48/1000)^0.5)/(R48/1000000))+5.47)-273</f>
        <v>74.9251766943039</v>
      </c>
      <c r="L48" s="8">
        <v>-26</v>
      </c>
      <c r="M48" s="8">
        <v>7.85</v>
      </c>
      <c r="N48" s="109" t="s">
        <v>66</v>
      </c>
      <c r="O48" s="110">
        <v>5683.166666666667</v>
      </c>
      <c r="P48" s="30">
        <v>2743</v>
      </c>
      <c r="Q48" s="30">
        <f>Y48/32*96/1000</f>
        <v>45.518546533861603</v>
      </c>
      <c r="R48" s="30">
        <v>1158089.1408707346</v>
      </c>
      <c r="S48" s="30">
        <v>358080.54833868495</v>
      </c>
      <c r="T48" s="30">
        <v>4118900.69059574</v>
      </c>
      <c r="U48" s="30">
        <v>68215.212313353812</v>
      </c>
      <c r="V48" s="9">
        <v>37.542857142857144</v>
      </c>
      <c r="W48" s="30">
        <v>8759.494839886409</v>
      </c>
      <c r="X48" s="30">
        <v>1530.8016335293496</v>
      </c>
      <c r="Y48" s="30">
        <v>15172.848844620534</v>
      </c>
      <c r="Z48" s="30">
        <v>48375.270590248969</v>
      </c>
      <c r="AA48" s="30">
        <v>11285.593083125546</v>
      </c>
      <c r="AB48" s="9">
        <v>15.438618785282738</v>
      </c>
      <c r="AC48" s="9"/>
      <c r="AD48" s="9">
        <v>4.677142857142857</v>
      </c>
      <c r="AE48" s="30"/>
      <c r="AF48" s="9"/>
      <c r="AG48" s="9">
        <v>7.3003395211767312</v>
      </c>
      <c r="AH48" s="9"/>
      <c r="AI48" s="9"/>
      <c r="AJ48" s="9"/>
      <c r="AK48" s="9">
        <v>26.245313880709922</v>
      </c>
      <c r="AL48" s="30">
        <v>32752.052619047616</v>
      </c>
      <c r="AM48" s="30">
        <v>779.7790753785988</v>
      </c>
      <c r="AN48" s="30">
        <v>530.05357142857156</v>
      </c>
      <c r="AO48" s="30">
        <v>120.70059784632573</v>
      </c>
      <c r="AP48" s="30">
        <v>32300.875</v>
      </c>
      <c r="AQ48" s="9">
        <v>76.621428571428567</v>
      </c>
      <c r="AR48" s="30">
        <v>45772.04250000001</v>
      </c>
      <c r="AS48" s="30"/>
      <c r="AT48" s="30"/>
      <c r="AU48" s="30"/>
      <c r="AV48" s="30">
        <v>1853.3771428571431</v>
      </c>
      <c r="AW48" s="30">
        <v>13212.087199999998</v>
      </c>
      <c r="AX48" s="30">
        <v>362.21428571428578</v>
      </c>
      <c r="AY48" s="30"/>
      <c r="AZ48" s="9"/>
      <c r="BA48" s="9"/>
      <c r="BB48" s="9"/>
      <c r="BC48" s="9"/>
      <c r="BD48" s="9"/>
      <c r="BE48" s="9"/>
      <c r="BF48" s="9"/>
      <c r="BG48" s="9">
        <v>14.13142857142857</v>
      </c>
      <c r="BH48" s="9"/>
      <c r="BI48" s="9">
        <v>13.002857142857142</v>
      </c>
      <c r="BJ48" s="9"/>
      <c r="BK48" s="9">
        <v>18.814285714285713</v>
      </c>
      <c r="BL48" s="9"/>
      <c r="BM48" s="30">
        <v>342.46000000000004</v>
      </c>
      <c r="BN48" s="9"/>
      <c r="BO48" s="30"/>
      <c r="BP48" s="30"/>
      <c r="BQ48" s="9"/>
      <c r="BR48" s="10"/>
      <c r="BS48" s="9"/>
      <c r="BT48" s="9"/>
      <c r="BU48" s="30">
        <v>1991.0874285714285</v>
      </c>
      <c r="BV48" s="30"/>
      <c r="BW48" s="9">
        <f>O48/61/(O48/61+P48/35.5+Q48/96*2)*100</f>
        <v>54.361808062826157</v>
      </c>
      <c r="BX48" s="9">
        <f>P48/35.5/(O48/61+P48/35.5+Q48/96*2)*100</f>
        <v>45.084866693441143</v>
      </c>
      <c r="BY48" s="9">
        <f>Q48/96*2/(O48/61+P48/35.5+Q48/96*2)*100</f>
        <v>0.55332524373269343</v>
      </c>
      <c r="BZ48" s="9">
        <f>T48/23/(T48/23+U48/24.31*2+AA48/40.08*2)*100</f>
        <v>96.666666041036322</v>
      </c>
      <c r="CA48" s="9">
        <f>AA48/40.08*2/(T48/23+U48/24.31*2+AA48/40.08*2)*100</f>
        <v>0.30398344003396927</v>
      </c>
      <c r="CB48" s="9">
        <f>U48/24.31*2/(T48/23+U48/24.31*2+AA48/40.08*2)*100</f>
        <v>3.0293505189297054</v>
      </c>
      <c r="CC48" s="9"/>
      <c r="CD48" s="111">
        <v>31.4</v>
      </c>
      <c r="CE48" s="112">
        <v>8.5</v>
      </c>
      <c r="CF48" s="113">
        <v>-18</v>
      </c>
      <c r="CG48" s="30"/>
      <c r="CH48" s="8">
        <v>89.53</v>
      </c>
      <c r="CI48" s="10">
        <v>3.6589999999999998</v>
      </c>
      <c r="CJ48" s="32">
        <v>4.2700000000000004E-3</v>
      </c>
      <c r="CK48" s="31">
        <v>3.3610000000000001E-2</v>
      </c>
      <c r="CL48" s="8"/>
      <c r="CM48" s="31">
        <v>9.8419999999999994E-2</v>
      </c>
      <c r="CN48" s="8"/>
      <c r="CO48" s="8">
        <v>5.6360000000000001</v>
      </c>
      <c r="CP48" s="10">
        <f t="shared" ref="CP48:CP54" si="13">SUM(CH48:CO48)</f>
        <v>98.961300000000008</v>
      </c>
      <c r="CQ48" s="30"/>
      <c r="CR48" s="9"/>
      <c r="CS48" s="63">
        <v>-41.1</v>
      </c>
      <c r="CT48" s="63">
        <v>10.6</v>
      </c>
      <c r="CU48" s="9"/>
      <c r="CV48" s="9"/>
    </row>
    <row r="49" spans="1:100" x14ac:dyDescent="0.4">
      <c r="A49" s="26">
        <v>10</v>
      </c>
      <c r="B49" s="40" t="s">
        <v>166</v>
      </c>
      <c r="C49" s="71" t="s">
        <v>167</v>
      </c>
      <c r="D49" s="26" t="s">
        <v>413</v>
      </c>
      <c r="E49" s="76">
        <v>45.118684000000002</v>
      </c>
      <c r="F49" s="42">
        <v>36.897764000000002</v>
      </c>
      <c r="G49" s="30">
        <v>9.1626630000000002</v>
      </c>
      <c r="H49" s="41">
        <v>44019</v>
      </c>
      <c r="I49" s="8"/>
      <c r="J49" s="25"/>
      <c r="K49" s="68"/>
      <c r="L49" s="8"/>
      <c r="M49" s="8"/>
      <c r="N49" s="109"/>
      <c r="O49" s="110"/>
      <c r="P49" s="30"/>
      <c r="Q49" s="30"/>
      <c r="R49" s="30"/>
      <c r="S49" s="30"/>
      <c r="T49" s="30"/>
      <c r="U49" s="30"/>
      <c r="V49" s="9"/>
      <c r="W49" s="30"/>
      <c r="X49" s="30"/>
      <c r="Y49" s="30"/>
      <c r="Z49" s="30"/>
      <c r="AA49" s="30"/>
      <c r="AB49" s="9"/>
      <c r="AC49" s="9"/>
      <c r="AD49" s="9"/>
      <c r="AE49" s="30"/>
      <c r="AF49" s="9"/>
      <c r="AG49" s="9"/>
      <c r="AH49" s="9"/>
      <c r="AI49" s="9"/>
      <c r="AJ49" s="9"/>
      <c r="AK49" s="9"/>
      <c r="AL49" s="30"/>
      <c r="AM49" s="30"/>
      <c r="AN49" s="30"/>
      <c r="AO49" s="30"/>
      <c r="AP49" s="30"/>
      <c r="AQ49" s="9"/>
      <c r="AR49" s="30"/>
      <c r="AS49" s="30"/>
      <c r="AT49" s="30"/>
      <c r="AU49" s="30"/>
      <c r="AV49" s="30"/>
      <c r="AW49" s="30"/>
      <c r="AX49" s="30"/>
      <c r="AY49" s="30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30"/>
      <c r="BN49" s="9"/>
      <c r="BO49" s="30"/>
      <c r="BP49" s="30"/>
      <c r="BQ49" s="9"/>
      <c r="BR49" s="10"/>
      <c r="BS49" s="9"/>
      <c r="BT49" s="9"/>
      <c r="BU49" s="30"/>
      <c r="BV49" s="30"/>
      <c r="BW49" s="9"/>
      <c r="BX49" s="9"/>
      <c r="BY49" s="9"/>
      <c r="BZ49" s="9"/>
      <c r="CA49" s="9"/>
      <c r="CB49" s="9"/>
      <c r="CC49" s="9"/>
      <c r="CD49" s="111"/>
      <c r="CE49" s="112"/>
      <c r="CF49" s="113"/>
      <c r="CG49" s="30"/>
      <c r="CH49" s="8">
        <v>94.86</v>
      </c>
      <c r="CI49" s="10"/>
      <c r="CJ49" s="32">
        <v>3.715E-3</v>
      </c>
      <c r="CK49" s="31">
        <v>3.0530000000000002E-2</v>
      </c>
      <c r="CL49" s="8"/>
      <c r="CM49" s="8">
        <v>9.0899999999999995E-2</v>
      </c>
      <c r="CN49" s="8"/>
      <c r="CO49" s="8">
        <v>4.8470000000000004</v>
      </c>
      <c r="CP49" s="10">
        <f t="shared" si="13"/>
        <v>99.832144999999997</v>
      </c>
      <c r="CQ49" s="30"/>
      <c r="CR49" s="9"/>
      <c r="CS49" s="63">
        <v>-41.1</v>
      </c>
      <c r="CT49" s="63">
        <v>8.4</v>
      </c>
      <c r="CU49" s="9"/>
      <c r="CV49" s="9"/>
    </row>
    <row r="50" spans="1:100" x14ac:dyDescent="0.4">
      <c r="A50" s="26">
        <v>11</v>
      </c>
      <c r="B50" s="40" t="s">
        <v>168</v>
      </c>
      <c r="C50" s="69" t="s">
        <v>169</v>
      </c>
      <c r="D50" s="122" t="s">
        <v>414</v>
      </c>
      <c r="E50" s="115">
        <v>45.201051</v>
      </c>
      <c r="F50" s="116">
        <v>36.794770999999997</v>
      </c>
      <c r="G50" s="8">
        <v>114</v>
      </c>
      <c r="H50" s="41">
        <v>39996</v>
      </c>
      <c r="I50" s="9"/>
      <c r="J50" s="8"/>
      <c r="K50" s="68"/>
      <c r="L50" s="8"/>
      <c r="M50" s="8"/>
      <c r="N50" s="9"/>
      <c r="O50" s="29"/>
      <c r="P50" s="30"/>
      <c r="Q50" s="30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9"/>
      <c r="BX50" s="9"/>
      <c r="BY50" s="9"/>
      <c r="BZ50" s="9"/>
      <c r="CA50" s="9"/>
      <c r="CB50" s="9"/>
      <c r="CC50" s="9"/>
      <c r="CD50" s="8">
        <v>23.8</v>
      </c>
      <c r="CE50" s="9">
        <v>13.1</v>
      </c>
      <c r="CF50" s="30">
        <v>-19</v>
      </c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9"/>
      <c r="CS50" s="9"/>
      <c r="CT50" s="9"/>
      <c r="CU50" s="9"/>
      <c r="CV50" s="9"/>
    </row>
    <row r="51" spans="1:100" x14ac:dyDescent="0.4">
      <c r="A51" s="26">
        <v>11</v>
      </c>
      <c r="B51" s="40" t="s">
        <v>170</v>
      </c>
      <c r="C51" s="69" t="s">
        <v>169</v>
      </c>
      <c r="D51" s="122" t="s">
        <v>414</v>
      </c>
      <c r="E51" s="115">
        <v>45.201051</v>
      </c>
      <c r="F51" s="116">
        <v>36.794770999999997</v>
      </c>
      <c r="G51" s="8">
        <v>114</v>
      </c>
      <c r="H51" s="41">
        <v>39996</v>
      </c>
      <c r="I51" s="9">
        <f>(O51+P51+Z51/1000+AA51/1000+T51/1000+U51/1000+Y51/1000/32*96)/1000</f>
        <v>14.684976684128854</v>
      </c>
      <c r="J51" s="8">
        <v>17.899999999999999</v>
      </c>
      <c r="K51" s="68">
        <f>2200/(LOG(((U51/1000)^0.5)/(R51/1000000))+5.47)-273</f>
        <v>89.068522715808626</v>
      </c>
      <c r="L51" s="8">
        <v>56</v>
      </c>
      <c r="M51" s="8">
        <v>8.02</v>
      </c>
      <c r="N51" s="9">
        <v>0.9</v>
      </c>
      <c r="O51" s="29">
        <v>9248</v>
      </c>
      <c r="P51" s="30">
        <v>1455</v>
      </c>
      <c r="Q51" s="30">
        <f>Y51/32*96/1000</f>
        <v>23.901408693553115</v>
      </c>
      <c r="R51" s="30">
        <v>1968554.2164278494</v>
      </c>
      <c r="S51" s="30">
        <v>727141.24900446145</v>
      </c>
      <c r="T51" s="30">
        <v>3818586.2284311289</v>
      </c>
      <c r="U51" s="30">
        <v>63196.143279612232</v>
      </c>
      <c r="V51" s="30"/>
      <c r="W51" s="30">
        <v>9645.0274830804265</v>
      </c>
      <c r="X51" s="30"/>
      <c r="Y51" s="30">
        <v>7967.1362311843714</v>
      </c>
      <c r="Z51" s="30">
        <v>55248.121037208839</v>
      </c>
      <c r="AA51" s="30">
        <v>21044.782687352399</v>
      </c>
      <c r="AB51" s="9">
        <v>14.41766482343902</v>
      </c>
      <c r="AC51" s="9"/>
      <c r="AD51" s="9">
        <v>10.520159999999999</v>
      </c>
      <c r="AE51" s="30">
        <v>458.11307105892837</v>
      </c>
      <c r="AF51" s="30"/>
      <c r="AG51" s="30"/>
      <c r="AH51" s="9"/>
      <c r="AI51" s="9">
        <v>28.989230769230762</v>
      </c>
      <c r="AJ51" s="9">
        <v>14.8</v>
      </c>
      <c r="AK51" s="9">
        <v>52.574434497859563</v>
      </c>
      <c r="AL51" s="30">
        <v>10369.160200000002</v>
      </c>
      <c r="AM51" s="30">
        <v>379.315282051282</v>
      </c>
      <c r="AN51" s="30">
        <v>926.80692307692311</v>
      </c>
      <c r="AO51" s="30">
        <v>364.73917948717946</v>
      </c>
      <c r="AP51" s="30">
        <v>81485.650666666668</v>
      </c>
      <c r="AQ51" s="30"/>
      <c r="AR51" s="30">
        <v>17358.604156862744</v>
      </c>
      <c r="AS51" s="30"/>
      <c r="AT51" s="8"/>
      <c r="AU51" s="30">
        <v>3542.9750000000004</v>
      </c>
      <c r="AV51" s="30">
        <v>3088.202415384616</v>
      </c>
      <c r="AW51" s="30">
        <v>33781.214095238094</v>
      </c>
      <c r="AX51" s="30">
        <v>446.01894736842104</v>
      </c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>
        <v>817.73199999999997</v>
      </c>
      <c r="BN51" s="30"/>
      <c r="BO51" s="30"/>
      <c r="BP51" s="30"/>
      <c r="BQ51" s="9"/>
      <c r="BR51" s="9">
        <v>2.3267874999999991</v>
      </c>
      <c r="BS51" s="9">
        <v>70.792407692307677</v>
      </c>
      <c r="BT51" s="30"/>
      <c r="BU51" s="30">
        <v>1011.0317714285715</v>
      </c>
      <c r="BV51" s="30"/>
      <c r="BW51" s="9">
        <f>O51/61/(O51/61+P51/35.5+Q51/96*2)*100</f>
        <v>78.515836390499288</v>
      </c>
      <c r="BX51" s="9">
        <f>P51/35.5/(O51/61+P51/35.5+Q51/96*2)*100</f>
        <v>21.226281308905055</v>
      </c>
      <c r="BY51" s="9">
        <f>Q51/96*2/(O51/61+P51/35.5+Q51/96*2)*100</f>
        <v>0.25788230059565559</v>
      </c>
      <c r="BZ51" s="9">
        <f>T51/23/(T51/23+U51/24.31*2+AA51/40.08*2)*100</f>
        <v>96.372465762533892</v>
      </c>
      <c r="CA51" s="9">
        <f>AA51/40.08*2/(T51/23+U51/24.31*2+AA51/40.08*2)*100</f>
        <v>0.60957189230719422</v>
      </c>
      <c r="CB51" s="9">
        <f>U51/24.31*2/(T51/23+U51/24.31*2+AA51/40.08*2)*100</f>
        <v>3.0179623451589102</v>
      </c>
      <c r="CC51" s="9"/>
      <c r="CD51" s="9">
        <v>24</v>
      </c>
      <c r="CE51" s="9">
        <v>14.2</v>
      </c>
      <c r="CF51" s="30">
        <v>-24</v>
      </c>
      <c r="CG51" s="30"/>
      <c r="CH51" s="127">
        <v>73.400000000000006</v>
      </c>
      <c r="CI51" s="128">
        <v>22.02</v>
      </c>
      <c r="CJ51" s="129">
        <v>3.8E-3</v>
      </c>
      <c r="CK51" s="129">
        <v>0</v>
      </c>
      <c r="CL51" s="129"/>
      <c r="CM51" s="129"/>
      <c r="CN51" s="130">
        <v>3.7999999999999999E-2</v>
      </c>
      <c r="CO51" s="127">
        <v>1.6</v>
      </c>
      <c r="CP51" s="10">
        <f t="shared" si="13"/>
        <v>97.061799999999991</v>
      </c>
      <c r="CQ51" s="111"/>
      <c r="CR51" s="118">
        <v>-2.9</v>
      </c>
      <c r="CS51" s="126">
        <v>-45.3</v>
      </c>
      <c r="CT51" s="126">
        <v>12.2</v>
      </c>
      <c r="CU51" s="9"/>
      <c r="CV51" s="30">
        <v>-176</v>
      </c>
    </row>
    <row r="52" spans="1:100" x14ac:dyDescent="0.4">
      <c r="A52" s="26">
        <v>11</v>
      </c>
      <c r="B52" s="40" t="s">
        <v>171</v>
      </c>
      <c r="C52" s="69" t="s">
        <v>169</v>
      </c>
      <c r="D52" s="122" t="s">
        <v>414</v>
      </c>
      <c r="E52" s="76">
        <v>45.19522222222222</v>
      </c>
      <c r="F52" s="42">
        <v>36.768972222222224</v>
      </c>
      <c r="G52" s="8">
        <v>104</v>
      </c>
      <c r="H52" s="41">
        <v>37127</v>
      </c>
      <c r="I52" s="9"/>
      <c r="J52" s="8"/>
      <c r="K52" s="68"/>
      <c r="L52" s="8"/>
      <c r="M52" s="27"/>
      <c r="N52" s="8"/>
      <c r="O52" s="29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9"/>
      <c r="AC52" s="9"/>
      <c r="AD52" s="30"/>
      <c r="AE52" s="30"/>
      <c r="AF52" s="9"/>
      <c r="AG52" s="9"/>
      <c r="AH52" s="30"/>
      <c r="AI52" s="9"/>
      <c r="AJ52" s="9"/>
      <c r="AK52" s="9"/>
      <c r="AL52" s="30"/>
      <c r="AM52" s="30"/>
      <c r="AN52" s="30"/>
      <c r="AO52" s="9"/>
      <c r="AP52" s="30"/>
      <c r="AQ52" s="9"/>
      <c r="AR52" s="30"/>
      <c r="AS52" s="9"/>
      <c r="AT52" s="9"/>
      <c r="AU52" s="9"/>
      <c r="AV52" s="9"/>
      <c r="AW52" s="30"/>
      <c r="AX52" s="30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31"/>
      <c r="BN52" s="9"/>
      <c r="BO52" s="31"/>
      <c r="BP52" s="31"/>
      <c r="BQ52" s="10"/>
      <c r="BR52" s="10"/>
      <c r="BS52" s="10"/>
      <c r="BT52" s="10"/>
      <c r="BU52" s="30"/>
      <c r="BV52" s="30"/>
      <c r="BW52" s="9"/>
      <c r="BX52" s="9"/>
      <c r="BY52" s="9"/>
      <c r="BZ52" s="9"/>
      <c r="CA52" s="9"/>
      <c r="CB52" s="9"/>
      <c r="CC52" s="9"/>
      <c r="CD52" s="8"/>
      <c r="CE52" s="9">
        <v>6.5965402140784821</v>
      </c>
      <c r="CF52" s="30">
        <v>-28.03706454295709</v>
      </c>
      <c r="CG52" s="30"/>
      <c r="CH52" s="8"/>
      <c r="CI52" s="8"/>
      <c r="CJ52" s="8"/>
      <c r="CK52" s="31"/>
      <c r="CL52" s="31"/>
      <c r="CM52" s="31"/>
      <c r="CN52" s="8"/>
      <c r="CO52" s="8"/>
      <c r="CP52" s="10"/>
      <c r="CQ52" s="8"/>
      <c r="CR52" s="9"/>
      <c r="CS52" s="9">
        <v>-42.325000000000003</v>
      </c>
      <c r="CT52" s="9">
        <v>5.08</v>
      </c>
      <c r="CU52" s="9"/>
      <c r="CV52" s="9"/>
    </row>
    <row r="53" spans="1:100" x14ac:dyDescent="0.4">
      <c r="A53" s="26">
        <v>11</v>
      </c>
      <c r="B53" s="40" t="s">
        <v>172</v>
      </c>
      <c r="C53" s="69" t="s">
        <v>169</v>
      </c>
      <c r="D53" s="122" t="s">
        <v>414</v>
      </c>
      <c r="E53" s="76">
        <v>45.202333333333335</v>
      </c>
      <c r="F53" s="42">
        <v>36.782583333333335</v>
      </c>
      <c r="G53" s="8">
        <v>104</v>
      </c>
      <c r="H53" s="41">
        <v>37127</v>
      </c>
      <c r="I53" s="9">
        <f>(O53+P53+Z53/1000+AA53/1000+T53/1000+U53/1000+Y53/1000/32*96)/1000</f>
        <v>12.312716578087985</v>
      </c>
      <c r="J53" s="8"/>
      <c r="K53" s="68">
        <f>2200/(LOG(((U53/1000)^0.5)/(R53/1000000))+5.47)-273</f>
        <v>81.951297889031309</v>
      </c>
      <c r="L53" s="8"/>
      <c r="M53" s="27">
        <v>7.76</v>
      </c>
      <c r="N53" s="8">
        <v>0.98</v>
      </c>
      <c r="O53" s="29">
        <v>5505.2</v>
      </c>
      <c r="P53" s="30">
        <v>3124</v>
      </c>
      <c r="Q53" s="30">
        <f>Y53/32*96/1000</f>
        <v>1.7762677484787024</v>
      </c>
      <c r="R53" s="30">
        <v>851660</v>
      </c>
      <c r="S53" s="30">
        <v>283426.52650413779</v>
      </c>
      <c r="T53" s="30">
        <v>3607200</v>
      </c>
      <c r="U53" s="30">
        <v>20730</v>
      </c>
      <c r="V53" s="30">
        <v>275.45082952632839</v>
      </c>
      <c r="W53" s="30">
        <v>6843.1677018633527</v>
      </c>
      <c r="X53" s="30">
        <v>626.65066026410557</v>
      </c>
      <c r="Y53" s="30">
        <v>592.08924949290076</v>
      </c>
      <c r="Z53" s="30">
        <v>20596</v>
      </c>
      <c r="AA53" s="30">
        <v>33214.310339506497</v>
      </c>
      <c r="AB53" s="9">
        <v>10.715675675675675</v>
      </c>
      <c r="AC53" s="9" t="s">
        <v>96</v>
      </c>
      <c r="AD53" s="30">
        <v>39.9</v>
      </c>
      <c r="AE53" s="30">
        <v>500.77519379844961</v>
      </c>
      <c r="AF53" s="9">
        <v>1.0853266085648734</v>
      </c>
      <c r="AG53" s="9">
        <v>8.1945491241010426</v>
      </c>
      <c r="AH53" s="9">
        <v>8.859776364269992</v>
      </c>
      <c r="AI53" s="9">
        <v>3.2834236375080321</v>
      </c>
      <c r="AJ53" s="9">
        <v>2.4872369184824192</v>
      </c>
      <c r="AK53" s="9" t="s">
        <v>71</v>
      </c>
      <c r="AL53" s="30">
        <v>45094.596736109124</v>
      </c>
      <c r="AM53" s="30">
        <v>1841</v>
      </c>
      <c r="AN53" s="30">
        <v>961.8</v>
      </c>
      <c r="AO53" s="9" t="s">
        <v>74</v>
      </c>
      <c r="AP53" s="30">
        <v>35958.855532219619</v>
      </c>
      <c r="AQ53" s="9" t="s">
        <v>74</v>
      </c>
      <c r="AR53" s="30">
        <v>1461.096875</v>
      </c>
      <c r="AS53" s="9" t="s">
        <v>69</v>
      </c>
      <c r="AT53" s="9" t="s">
        <v>69</v>
      </c>
      <c r="AU53" s="9">
        <v>1.1292940581676911</v>
      </c>
      <c r="AV53" s="10">
        <v>0.53068793119398938</v>
      </c>
      <c r="AW53" s="30">
        <v>11625.813333333334</v>
      </c>
      <c r="AX53" s="30">
        <v>309.24018066697533</v>
      </c>
      <c r="AY53" s="9" t="s">
        <v>76</v>
      </c>
      <c r="AZ53" s="9" t="s">
        <v>77</v>
      </c>
      <c r="BA53" s="9" t="s">
        <v>78</v>
      </c>
      <c r="BB53" s="9" t="s">
        <v>79</v>
      </c>
      <c r="BC53" s="9" t="s">
        <v>79</v>
      </c>
      <c r="BD53" s="9" t="s">
        <v>80</v>
      </c>
      <c r="BE53" s="9" t="s">
        <v>81</v>
      </c>
      <c r="BF53" s="9" t="s">
        <v>82</v>
      </c>
      <c r="BG53" s="9" t="s">
        <v>81</v>
      </c>
      <c r="BH53" s="9" t="s">
        <v>82</v>
      </c>
      <c r="BI53" s="9" t="s">
        <v>81</v>
      </c>
      <c r="BJ53" s="9" t="s">
        <v>82</v>
      </c>
      <c r="BK53" s="9" t="s">
        <v>77</v>
      </c>
      <c r="BL53" s="9" t="s">
        <v>78</v>
      </c>
      <c r="BM53" s="10">
        <v>0.24878152940164025</v>
      </c>
      <c r="BN53" s="9" t="s">
        <v>81</v>
      </c>
      <c r="BO53" s="31" t="s">
        <v>83</v>
      </c>
      <c r="BP53" s="31" t="s">
        <v>77</v>
      </c>
      <c r="BQ53" s="10" t="s">
        <v>80</v>
      </c>
      <c r="BR53" s="10" t="s">
        <v>74</v>
      </c>
      <c r="BS53" s="10" t="s">
        <v>78</v>
      </c>
      <c r="BT53" s="10" t="s">
        <v>84</v>
      </c>
      <c r="BU53" s="30">
        <v>79.975000000000009</v>
      </c>
      <c r="BV53" s="30"/>
      <c r="BW53" s="9">
        <f t="shared" ref="BW53:BW63" si="14">O53/61/(O53/61+P53/35.5+Q53/96*2)*100</f>
        <v>50.620399931305492</v>
      </c>
      <c r="BX53" s="9">
        <f t="shared" ref="BX53:BX63" si="15">P53/35.5/(O53/61+P53/35.5+Q53/96*2)*100</f>
        <v>49.358843789734777</v>
      </c>
      <c r="BY53" s="9">
        <f t="shared" ref="BY53:BY63" si="16">Q53/96*2/(O53/61+P53/35.5+Q53/96*2)*100</f>
        <v>2.07562789597311E-2</v>
      </c>
      <c r="BZ53" s="9">
        <f>T53/23/(T53/23+U53/24.31*2+AA53/40.08*2)*100</f>
        <v>97.90079840474128</v>
      </c>
      <c r="CA53" s="9">
        <f>AA53/40.08*2/(T53/23+U53/24.31*2+AA53/40.08*2)*100</f>
        <v>1.0345973681948646</v>
      </c>
      <c r="CB53" s="9">
        <f>U53/24.31*2/(T53/23+U53/24.31*2+AA53/40.08*2)*100</f>
        <v>1.0646042270638711</v>
      </c>
      <c r="CC53" s="9"/>
      <c r="CD53" s="8"/>
      <c r="CE53" s="9"/>
      <c r="CF53" s="30"/>
      <c r="CG53" s="30"/>
      <c r="CH53" s="8">
        <v>81.790000000000006</v>
      </c>
      <c r="CI53" s="8">
        <v>17.68</v>
      </c>
      <c r="CJ53" s="8"/>
      <c r="CK53" s="31"/>
      <c r="CL53" s="31"/>
      <c r="CM53" s="31"/>
      <c r="CN53" s="8">
        <v>1E-3</v>
      </c>
      <c r="CO53" s="8">
        <v>0.53</v>
      </c>
      <c r="CP53" s="10">
        <f t="shared" si="13"/>
        <v>100.001</v>
      </c>
      <c r="CQ53" s="8"/>
      <c r="CR53" s="9"/>
      <c r="CS53" s="9"/>
      <c r="CT53" s="9"/>
      <c r="CU53" s="9"/>
      <c r="CV53" s="9"/>
    </row>
    <row r="54" spans="1:100" x14ac:dyDescent="0.4">
      <c r="A54" s="26">
        <v>11</v>
      </c>
      <c r="B54" s="40" t="s">
        <v>173</v>
      </c>
      <c r="C54" s="71" t="s">
        <v>169</v>
      </c>
      <c r="D54" s="122" t="s">
        <v>414</v>
      </c>
      <c r="E54" s="76">
        <v>45.201085999999997</v>
      </c>
      <c r="F54" s="42">
        <v>36.79477</v>
      </c>
      <c r="G54" s="30">
        <v>116.119141</v>
      </c>
      <c r="H54" s="41">
        <v>44019</v>
      </c>
      <c r="I54" s="9">
        <f>(O54+P54+Z54/1000+AA54/1000+T54/1000+U54/1000+Y54/1000/32*96)/1000</f>
        <v>12.357870865821061</v>
      </c>
      <c r="J54" s="27">
        <v>26</v>
      </c>
      <c r="K54" s="68">
        <f>2200/(LOG(((U54/1000)^0.5)/(R54/1000000))+5.47)-273</f>
        <v>79.751981912298334</v>
      </c>
      <c r="L54" s="8">
        <v>21</v>
      </c>
      <c r="M54" s="8">
        <v>7.17</v>
      </c>
      <c r="N54" s="109" t="s">
        <v>66</v>
      </c>
      <c r="O54" s="110">
        <v>7360.666666666667</v>
      </c>
      <c r="P54" s="30">
        <v>1244</v>
      </c>
      <c r="Q54" s="30"/>
      <c r="R54" s="30">
        <v>1152837.4413153531</v>
      </c>
      <c r="S54" s="30">
        <v>589969.24609995435</v>
      </c>
      <c r="T54" s="30">
        <v>3634184.1620368115</v>
      </c>
      <c r="U54" s="30">
        <v>45382.578634069811</v>
      </c>
      <c r="V54" s="9">
        <v>48.662857142857135</v>
      </c>
      <c r="W54" s="30">
        <v>12829.035162653245</v>
      </c>
      <c r="X54" s="30">
        <v>570.82600494570374</v>
      </c>
      <c r="Y54" s="30"/>
      <c r="Z54" s="30">
        <v>52868.44193612181</v>
      </c>
      <c r="AA54" s="30">
        <v>20769.016547391599</v>
      </c>
      <c r="AB54" s="9">
        <v>8.364185246952152</v>
      </c>
      <c r="AC54" s="9"/>
      <c r="AD54" s="9">
        <v>8.4971428571428564</v>
      </c>
      <c r="AE54" s="30">
        <v>640.98057657336062</v>
      </c>
      <c r="AF54" s="9"/>
      <c r="AG54" s="9"/>
      <c r="AH54" s="9"/>
      <c r="AI54" s="9"/>
      <c r="AJ54" s="9">
        <v>29.155714285714286</v>
      </c>
      <c r="AK54" s="9">
        <v>16.950522809426825</v>
      </c>
      <c r="AL54" s="30">
        <v>10932.052619047619</v>
      </c>
      <c r="AM54" s="30">
        <v>438.98571428571427</v>
      </c>
      <c r="AN54" s="30">
        <v>1009.0159867737063</v>
      </c>
      <c r="AO54" s="30"/>
      <c r="AP54" s="30">
        <v>62060.875</v>
      </c>
      <c r="AQ54" s="30">
        <v>287.20142857142855</v>
      </c>
      <c r="AR54" s="30">
        <v>15758.042500000001</v>
      </c>
      <c r="AS54" s="30"/>
      <c r="AT54" s="30"/>
      <c r="AU54" s="30"/>
      <c r="AV54" s="30"/>
      <c r="AW54" s="30">
        <v>30147.447200000002</v>
      </c>
      <c r="AX54" s="30">
        <v>228.01428571428573</v>
      </c>
      <c r="AY54" s="30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30">
        <v>588.46</v>
      </c>
      <c r="BN54" s="9"/>
      <c r="BO54" s="30"/>
      <c r="BP54" s="30"/>
      <c r="BQ54" s="9"/>
      <c r="BR54" s="10"/>
      <c r="BS54" s="9"/>
      <c r="BT54" s="9"/>
      <c r="BU54" s="9">
        <v>76.905028571428574</v>
      </c>
      <c r="BV54" s="9"/>
      <c r="BW54" s="9">
        <f t="shared" si="14"/>
        <v>77.495025025628649</v>
      </c>
      <c r="BX54" s="9">
        <f t="shared" si="15"/>
        <v>22.504974974371343</v>
      </c>
      <c r="BY54" s="9">
        <f t="shared" si="16"/>
        <v>0</v>
      </c>
      <c r="BZ54" s="9">
        <f>T54/23/(T54/23+U54/24.31*2+AA54/40.08*2)*100</f>
        <v>97.069608875835556</v>
      </c>
      <c r="CA54" s="9">
        <f>AA54/40.08*2/(T54/23+U54/24.31*2+AA54/40.08*2)*100</f>
        <v>0.63668174735479777</v>
      </c>
      <c r="CB54" s="9">
        <f>U54/24.31*2/(T54/23+U54/24.31*2+AA54/40.08*2)*100</f>
        <v>2.2937093768096406</v>
      </c>
      <c r="CC54" s="9"/>
      <c r="CD54" s="111">
        <v>22.6</v>
      </c>
      <c r="CE54" s="112">
        <v>12.2</v>
      </c>
      <c r="CF54" s="113">
        <v>-20</v>
      </c>
      <c r="CG54" s="9"/>
      <c r="CH54" s="8">
        <v>72.16</v>
      </c>
      <c r="CI54" s="10">
        <v>26.56</v>
      </c>
      <c r="CJ54" s="32">
        <v>5.8139999999999997E-3</v>
      </c>
      <c r="CK54" s="8"/>
      <c r="CL54" s="8"/>
      <c r="CM54" s="8">
        <v>0.158</v>
      </c>
      <c r="CN54" s="8"/>
      <c r="CO54" s="8">
        <v>1.177</v>
      </c>
      <c r="CP54" s="10">
        <f t="shared" si="13"/>
        <v>100.06081400000001</v>
      </c>
      <c r="CQ54" s="30"/>
      <c r="CR54" s="9"/>
      <c r="CS54" s="63">
        <v>-38</v>
      </c>
      <c r="CT54" s="63">
        <v>11.6</v>
      </c>
      <c r="CU54" s="9"/>
      <c r="CV54" s="9"/>
    </row>
    <row r="55" spans="1:100" x14ac:dyDescent="0.4">
      <c r="A55" s="26">
        <v>12</v>
      </c>
      <c r="B55" s="40" t="s">
        <v>174</v>
      </c>
      <c r="C55" s="69" t="s">
        <v>175</v>
      </c>
      <c r="D55" s="122" t="s">
        <v>415</v>
      </c>
      <c r="E55" s="115">
        <v>45.26925</v>
      </c>
      <c r="F55" s="116">
        <v>36.962560000000003</v>
      </c>
      <c r="G55" s="8">
        <v>50</v>
      </c>
      <c r="H55" s="41">
        <v>40000</v>
      </c>
      <c r="I55" s="9">
        <f>(O55+P55+Z55/1000+AA55/1000+T55/1000+U55/1000+Y55/1000/32*96)/1000</f>
        <v>18.186468120535494</v>
      </c>
      <c r="J55" s="8">
        <v>21.6</v>
      </c>
      <c r="K55" s="68">
        <f>2200/(LOG(((U55/1000)^0.5)/(R55/1000000))+5.47)-273</f>
        <v>76.452964477276453</v>
      </c>
      <c r="L55" s="8">
        <v>40</v>
      </c>
      <c r="M55" s="8">
        <v>7.73</v>
      </c>
      <c r="N55" s="9">
        <v>0.3</v>
      </c>
      <c r="O55" s="29">
        <v>4270</v>
      </c>
      <c r="P55" s="30">
        <v>5744</v>
      </c>
      <c r="Q55" s="30">
        <f>Y55/32*96/1000</f>
        <v>61.344858268717438</v>
      </c>
      <c r="R55" s="30">
        <v>1089482.8968797089</v>
      </c>
      <c r="S55" s="30">
        <v>134213.4765997917</v>
      </c>
      <c r="T55" s="30">
        <v>8013409.556073118</v>
      </c>
      <c r="U55" s="30">
        <v>53155.570809897916</v>
      </c>
      <c r="V55" s="30"/>
      <c r="W55" s="30">
        <v>3913.0050796418327</v>
      </c>
      <c r="X55" s="30"/>
      <c r="Y55" s="30">
        <v>20448.286089572477</v>
      </c>
      <c r="Z55" s="30">
        <v>29968.34483838937</v>
      </c>
      <c r="AA55" s="30">
        <v>14589.790545373382</v>
      </c>
      <c r="AB55" s="9">
        <v>20.601860713604548</v>
      </c>
      <c r="AC55" s="9"/>
      <c r="AD55" s="9">
        <v>15.703480000000001</v>
      </c>
      <c r="AE55" s="30">
        <v>566.29930528779039</v>
      </c>
      <c r="AF55" s="30"/>
      <c r="AG55" s="30"/>
      <c r="AH55" s="30"/>
      <c r="AI55" s="9"/>
      <c r="AJ55" s="9"/>
      <c r="AK55" s="9">
        <v>32.755370928851548</v>
      </c>
      <c r="AL55" s="30">
        <v>70554.340100000001</v>
      </c>
      <c r="AM55" s="30">
        <v>2449.4306257179041</v>
      </c>
      <c r="AN55" s="30">
        <v>1432.6080213255195</v>
      </c>
      <c r="AO55" s="30">
        <v>240.66341171886606</v>
      </c>
      <c r="AP55" s="30">
        <v>54902.825333333327</v>
      </c>
      <c r="AQ55" s="30">
        <v>124.90461538461538</v>
      </c>
      <c r="AR55" s="30">
        <v>51802.782078431374</v>
      </c>
      <c r="AS55" s="30"/>
      <c r="AT55" s="8"/>
      <c r="AU55" s="30">
        <v>428.1875</v>
      </c>
      <c r="AV55" s="30">
        <v>2630.8612076923077</v>
      </c>
      <c r="AW55" s="30">
        <v>3595.3670476190478</v>
      </c>
      <c r="AX55" s="9">
        <v>76.509473684210548</v>
      </c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>
        <v>1050.9659999999999</v>
      </c>
      <c r="BN55" s="30"/>
      <c r="BO55" s="30"/>
      <c r="BP55" s="30">
        <v>24.576495726495725</v>
      </c>
      <c r="BQ55" s="30"/>
      <c r="BR55" s="30"/>
      <c r="BS55" s="30"/>
      <c r="BT55" s="30"/>
      <c r="BU55" s="30">
        <v>4252.3838857142855</v>
      </c>
      <c r="BV55" s="30"/>
      <c r="BW55" s="9">
        <f t="shared" si="14"/>
        <v>30.032499268105344</v>
      </c>
      <c r="BX55" s="9">
        <f t="shared" si="15"/>
        <v>69.419185430984754</v>
      </c>
      <c r="BY55" s="9">
        <f t="shared" si="16"/>
        <v>0.54831530090990555</v>
      </c>
      <c r="BZ55" s="9">
        <f>T55/23/(T55/23+U55/24.31*2+AA55/40.08*2)*100</f>
        <v>98.556993086176547</v>
      </c>
      <c r="CA55" s="9">
        <f>AA55/40.08*2/(T55/23+U55/24.31*2+AA55/40.08*2)*100</f>
        <v>0.20594406525294173</v>
      </c>
      <c r="CB55" s="9">
        <f>U55/24.31*2/(T55/23+U55/24.31*2+AA55/40.08*2)*100</f>
        <v>1.2370628485705102</v>
      </c>
      <c r="CC55" s="9"/>
      <c r="CD55" s="9">
        <v>31.6</v>
      </c>
      <c r="CE55" s="9">
        <v>3.2</v>
      </c>
      <c r="CF55" s="30">
        <v>-33</v>
      </c>
      <c r="CG55" s="30"/>
      <c r="CH55" s="10"/>
      <c r="CI55" s="9"/>
      <c r="CJ55" s="10"/>
      <c r="CK55" s="32"/>
      <c r="CL55" s="32"/>
      <c r="CM55" s="32"/>
      <c r="CN55" s="31"/>
      <c r="CO55" s="10"/>
      <c r="CP55" s="10"/>
      <c r="CQ55" s="8"/>
      <c r="CR55" s="9"/>
      <c r="CS55" s="117">
        <v>-45</v>
      </c>
      <c r="CT55" s="126">
        <v>15.5</v>
      </c>
      <c r="CU55" s="9"/>
      <c r="CV55" s="9"/>
    </row>
    <row r="56" spans="1:100" x14ac:dyDescent="0.4">
      <c r="A56" s="26">
        <v>12</v>
      </c>
      <c r="B56" s="40" t="s">
        <v>176</v>
      </c>
      <c r="C56" s="69" t="s">
        <v>175</v>
      </c>
      <c r="D56" s="122" t="s">
        <v>416</v>
      </c>
      <c r="E56" s="115">
        <v>45.26925</v>
      </c>
      <c r="F56" s="116">
        <v>36.962560000000003</v>
      </c>
      <c r="G56" s="8">
        <v>50</v>
      </c>
      <c r="H56" s="41">
        <v>40000</v>
      </c>
      <c r="I56" s="9"/>
      <c r="J56" s="8">
        <v>29.7</v>
      </c>
      <c r="K56" s="68"/>
      <c r="L56" s="8"/>
      <c r="M56" s="8">
        <v>8.81</v>
      </c>
      <c r="N56" s="9">
        <v>0.3</v>
      </c>
      <c r="O56" s="29">
        <v>7930</v>
      </c>
      <c r="P56" s="30">
        <v>9361</v>
      </c>
      <c r="Q56" s="30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9">
        <f t="shared" si="14"/>
        <v>33.020892959358903</v>
      </c>
      <c r="BX56" s="9">
        <f t="shared" si="15"/>
        <v>66.979107040641097</v>
      </c>
      <c r="BY56" s="9">
        <f t="shared" si="16"/>
        <v>0</v>
      </c>
      <c r="BZ56" s="9"/>
      <c r="CA56" s="9"/>
      <c r="CB56" s="9"/>
      <c r="CC56" s="9"/>
      <c r="CD56" s="9">
        <v>31.6</v>
      </c>
      <c r="CE56" s="9">
        <v>3.2</v>
      </c>
      <c r="CF56" s="30">
        <v>-20</v>
      </c>
      <c r="CG56" s="8"/>
      <c r="CH56" s="10"/>
      <c r="CI56" s="9"/>
      <c r="CJ56" s="10"/>
      <c r="CK56" s="32"/>
      <c r="CL56" s="32"/>
      <c r="CM56" s="32"/>
      <c r="CN56" s="31"/>
      <c r="CO56" s="10"/>
      <c r="CP56" s="10"/>
      <c r="CQ56" s="8"/>
      <c r="CR56" s="9"/>
      <c r="CS56" s="49">
        <v>-47.5</v>
      </c>
      <c r="CT56" s="126">
        <v>16.8</v>
      </c>
      <c r="CU56" s="9"/>
      <c r="CV56" s="9"/>
    </row>
    <row r="57" spans="1:100" x14ac:dyDescent="0.4">
      <c r="A57" s="26">
        <v>12</v>
      </c>
      <c r="B57" s="40" t="s">
        <v>177</v>
      </c>
      <c r="C57" s="69" t="s">
        <v>175</v>
      </c>
      <c r="D57" s="122" t="s">
        <v>416</v>
      </c>
      <c r="E57" s="115">
        <v>45.26925</v>
      </c>
      <c r="F57" s="116">
        <v>36.962560000000003</v>
      </c>
      <c r="G57" s="8">
        <v>50</v>
      </c>
      <c r="H57" s="41">
        <v>40000</v>
      </c>
      <c r="I57" s="9"/>
      <c r="J57" s="8">
        <v>27.2</v>
      </c>
      <c r="K57" s="68"/>
      <c r="L57" s="8"/>
      <c r="M57" s="8">
        <v>8.52</v>
      </c>
      <c r="N57" s="9">
        <v>0.4</v>
      </c>
      <c r="O57" s="29">
        <v>6100</v>
      </c>
      <c r="P57" s="30">
        <v>6808</v>
      </c>
      <c r="Q57" s="30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9">
        <f t="shared" si="14"/>
        <v>34.273025680633332</v>
      </c>
      <c r="BX57" s="9">
        <f t="shared" si="15"/>
        <v>65.726974319366676</v>
      </c>
      <c r="BY57" s="9">
        <f t="shared" si="16"/>
        <v>0</v>
      </c>
      <c r="BZ57" s="9"/>
      <c r="CA57" s="9"/>
      <c r="CB57" s="9"/>
      <c r="CC57" s="9"/>
      <c r="CD57" s="9">
        <v>30.2</v>
      </c>
      <c r="CE57" s="9">
        <v>4.2</v>
      </c>
      <c r="CF57" s="30">
        <v>-22</v>
      </c>
      <c r="CG57" s="8"/>
      <c r="CH57" s="10"/>
      <c r="CI57" s="9"/>
      <c r="CJ57" s="10"/>
      <c r="CK57" s="32"/>
      <c r="CL57" s="32"/>
      <c r="CM57" s="32"/>
      <c r="CN57" s="31"/>
      <c r="CO57" s="10"/>
      <c r="CP57" s="10"/>
      <c r="CQ57" s="8"/>
      <c r="CR57" s="9"/>
      <c r="CS57" s="49"/>
      <c r="CT57" s="49"/>
      <c r="CU57" s="9"/>
      <c r="CV57" s="9"/>
    </row>
    <row r="58" spans="1:100" x14ac:dyDescent="0.4">
      <c r="A58" s="26">
        <v>12</v>
      </c>
      <c r="B58" s="40" t="s">
        <v>178</v>
      </c>
      <c r="C58" s="69" t="s">
        <v>175</v>
      </c>
      <c r="D58" s="122" t="s">
        <v>416</v>
      </c>
      <c r="E58" s="115">
        <v>45.26925</v>
      </c>
      <c r="F58" s="116">
        <v>36.962560000000003</v>
      </c>
      <c r="G58" s="8">
        <v>50</v>
      </c>
      <c r="H58" s="41">
        <v>40000</v>
      </c>
      <c r="I58" s="9"/>
      <c r="J58" s="8">
        <v>31.1</v>
      </c>
      <c r="K58" s="68"/>
      <c r="L58" s="8">
        <v>310</v>
      </c>
      <c r="M58" s="8">
        <v>8.91</v>
      </c>
      <c r="N58" s="9">
        <v>1.3</v>
      </c>
      <c r="O58" s="29">
        <v>9028</v>
      </c>
      <c r="P58" s="30">
        <v>12766</v>
      </c>
      <c r="Q58" s="30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9">
        <f t="shared" si="14"/>
        <v>29.156492785793564</v>
      </c>
      <c r="BX58" s="9">
        <f t="shared" si="15"/>
        <v>70.84350721420644</v>
      </c>
      <c r="BY58" s="9">
        <f t="shared" si="16"/>
        <v>0</v>
      </c>
      <c r="BZ58" s="9"/>
      <c r="CA58" s="9"/>
      <c r="CB58" s="9"/>
      <c r="CC58" s="9"/>
      <c r="CD58" s="9">
        <v>23.7</v>
      </c>
      <c r="CE58" s="9">
        <v>6.3</v>
      </c>
      <c r="CF58" s="30">
        <v>-9</v>
      </c>
      <c r="CG58" s="8"/>
      <c r="CH58" s="10"/>
      <c r="CI58" s="9"/>
      <c r="CJ58" s="10"/>
      <c r="CK58" s="32"/>
      <c r="CL58" s="32"/>
      <c r="CM58" s="32"/>
      <c r="CN58" s="31"/>
      <c r="CO58" s="10"/>
      <c r="CP58" s="10"/>
      <c r="CQ58" s="8"/>
      <c r="CR58" s="9"/>
      <c r="CS58" s="49"/>
      <c r="CT58" s="49"/>
      <c r="CU58" s="9"/>
      <c r="CV58" s="9"/>
    </row>
    <row r="59" spans="1:100" x14ac:dyDescent="0.4">
      <c r="A59" s="26">
        <v>12</v>
      </c>
      <c r="B59" s="40" t="s">
        <v>179</v>
      </c>
      <c r="C59" s="69" t="s">
        <v>175</v>
      </c>
      <c r="D59" s="122" t="s">
        <v>416</v>
      </c>
      <c r="E59" s="76">
        <v>45.26925</v>
      </c>
      <c r="F59" s="42">
        <v>36.962555555555561</v>
      </c>
      <c r="G59" s="8">
        <v>50</v>
      </c>
      <c r="H59" s="41">
        <v>40000</v>
      </c>
      <c r="I59" s="9"/>
      <c r="J59" s="27"/>
      <c r="K59" s="68"/>
      <c r="L59" s="8"/>
      <c r="M59" s="8"/>
      <c r="N59" s="9">
        <v>0.6</v>
      </c>
      <c r="O59" s="29">
        <v>4636</v>
      </c>
      <c r="P59" s="30">
        <v>6383</v>
      </c>
      <c r="Q59" s="30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9">
        <f t="shared" si="14"/>
        <v>29.710384318907611</v>
      </c>
      <c r="BX59" s="9">
        <f t="shared" si="15"/>
        <v>70.289615681092386</v>
      </c>
      <c r="BY59" s="9">
        <f t="shared" si="16"/>
        <v>0</v>
      </c>
      <c r="BZ59" s="9"/>
      <c r="CA59" s="9"/>
      <c r="CB59" s="9"/>
      <c r="CC59" s="9"/>
      <c r="CD59" s="9">
        <v>27.2</v>
      </c>
      <c r="CE59" s="9">
        <v>3.3</v>
      </c>
      <c r="CF59" s="30">
        <v>-32</v>
      </c>
      <c r="CG59" s="8"/>
      <c r="CH59" s="10">
        <v>91.921999999999997</v>
      </c>
      <c r="CI59" s="9">
        <v>4.7954999999999997</v>
      </c>
      <c r="CJ59" s="32">
        <v>1.1483000000000001E-3</v>
      </c>
      <c r="CK59" s="65"/>
      <c r="CL59" s="32"/>
      <c r="CM59" s="32"/>
      <c r="CN59" s="31">
        <v>2.1999999999999999E-2</v>
      </c>
      <c r="CO59" s="10">
        <v>0.79961000000000004</v>
      </c>
      <c r="CP59" s="10">
        <v>96.921999999999997</v>
      </c>
      <c r="CQ59" s="8"/>
      <c r="CR59" s="118">
        <v>-2</v>
      </c>
      <c r="CS59" s="126">
        <v>-51.5</v>
      </c>
      <c r="CT59" s="126">
        <v>15.1</v>
      </c>
      <c r="CU59" s="9"/>
      <c r="CV59" s="119">
        <v>-231.1</v>
      </c>
    </row>
    <row r="60" spans="1:100" x14ac:dyDescent="0.4">
      <c r="A60" s="26">
        <v>12</v>
      </c>
      <c r="B60" s="40" t="s">
        <v>180</v>
      </c>
      <c r="C60" s="69" t="s">
        <v>175</v>
      </c>
      <c r="D60" s="122" t="s">
        <v>416</v>
      </c>
      <c r="E60" s="76">
        <v>45.26925</v>
      </c>
      <c r="F60" s="42">
        <v>36.962555555555561</v>
      </c>
      <c r="G60" s="8">
        <v>54</v>
      </c>
      <c r="H60" s="41">
        <v>37128</v>
      </c>
      <c r="I60" s="9">
        <f>(O60+P60+Z60/1000+AA60/1000+T60/1000+U60/1000+Y60/1000/32*96)/1000</f>
        <v>17.88483723194916</v>
      </c>
      <c r="J60" s="8"/>
      <c r="K60" s="68">
        <f t="shared" ref="K60:K65" si="17">2200/(LOG(((U60/1000)^0.5)/(R60/1000000))+5.47)-273</f>
        <v>66.725869864608455</v>
      </c>
      <c r="L60" s="8"/>
      <c r="M60" s="27">
        <v>7.92</v>
      </c>
      <c r="N60" s="8">
        <v>0.7</v>
      </c>
      <c r="O60" s="29">
        <v>5490</v>
      </c>
      <c r="P60" s="30">
        <v>6851.5</v>
      </c>
      <c r="Q60" s="30">
        <f t="shared" ref="Q60:Q65" si="18">Y60/32*96/1000</f>
        <v>47.177629672558687</v>
      </c>
      <c r="R60" s="30">
        <v>572591</v>
      </c>
      <c r="S60" s="30">
        <v>90360.09841198838</v>
      </c>
      <c r="T60" s="30">
        <v>5420000</v>
      </c>
      <c r="U60" s="30">
        <v>33675.026327471402</v>
      </c>
      <c r="V60" s="30">
        <v>334.79201731185384</v>
      </c>
      <c r="W60" s="30">
        <v>7465.5279503105576</v>
      </c>
      <c r="X60" s="30">
        <v>263.89186023645442</v>
      </c>
      <c r="Y60" s="30">
        <v>15725.876557519563</v>
      </c>
      <c r="Z60" s="30">
        <v>25061</v>
      </c>
      <c r="AA60" s="30">
        <v>17423.575949132479</v>
      </c>
      <c r="AB60" s="9">
        <v>15.710270270270271</v>
      </c>
      <c r="AC60" s="30" t="s">
        <v>73</v>
      </c>
      <c r="AD60" s="30">
        <v>137.37</v>
      </c>
      <c r="AE60" s="30">
        <v>376.56178750569995</v>
      </c>
      <c r="AF60" s="9">
        <v>0.81993167207526585</v>
      </c>
      <c r="AG60" s="9">
        <v>9.7348029877896263</v>
      </c>
      <c r="AH60" s="30" t="s">
        <v>97</v>
      </c>
      <c r="AI60" s="9">
        <v>23.541599904026139</v>
      </c>
      <c r="AJ60" s="30" t="s">
        <v>71</v>
      </c>
      <c r="AK60" s="30" t="s">
        <v>181</v>
      </c>
      <c r="AL60" s="30">
        <v>76895.081977604714</v>
      </c>
      <c r="AM60" s="30">
        <v>1877</v>
      </c>
      <c r="AN60" s="30">
        <v>1043</v>
      </c>
      <c r="AO60" s="9" t="s">
        <v>98</v>
      </c>
      <c r="AP60" s="30">
        <v>69088.571337057932</v>
      </c>
      <c r="AQ60" s="9" t="s">
        <v>76</v>
      </c>
      <c r="AR60" s="30">
        <v>21152.993749999998</v>
      </c>
      <c r="AS60" s="9" t="s">
        <v>74</v>
      </c>
      <c r="AT60" s="9" t="s">
        <v>98</v>
      </c>
      <c r="AU60" s="9" t="s">
        <v>99</v>
      </c>
      <c r="AV60" s="9" t="s">
        <v>76</v>
      </c>
      <c r="AW60" s="30">
        <v>5223.4066666666658</v>
      </c>
      <c r="AX60" s="30"/>
      <c r="AY60" s="10" t="s">
        <v>75</v>
      </c>
      <c r="AZ60" s="10" t="s">
        <v>79</v>
      </c>
      <c r="BA60" s="10" t="s">
        <v>77</v>
      </c>
      <c r="BB60" s="10" t="s">
        <v>100</v>
      </c>
      <c r="BC60" s="10" t="s">
        <v>101</v>
      </c>
      <c r="BD60" s="10" t="s">
        <v>102</v>
      </c>
      <c r="BE60" s="10" t="s">
        <v>103</v>
      </c>
      <c r="BF60" s="10" t="s">
        <v>80</v>
      </c>
      <c r="BG60" s="10" t="s">
        <v>104</v>
      </c>
      <c r="BH60" s="10" t="s">
        <v>80</v>
      </c>
      <c r="BI60" s="10" t="s">
        <v>79</v>
      </c>
      <c r="BJ60" s="10" t="s">
        <v>80</v>
      </c>
      <c r="BK60" s="10" t="s">
        <v>104</v>
      </c>
      <c r="BL60" s="10" t="s">
        <v>77</v>
      </c>
      <c r="BM60" s="10">
        <v>0.44905996052516484</v>
      </c>
      <c r="BN60" s="10" t="s">
        <v>69</v>
      </c>
      <c r="BO60" s="31" t="s">
        <v>76</v>
      </c>
      <c r="BP60" s="31" t="s">
        <v>69</v>
      </c>
      <c r="BQ60" s="10" t="s">
        <v>79</v>
      </c>
      <c r="BR60" s="9">
        <v>4.5567705036810917</v>
      </c>
      <c r="BS60" s="9" t="s">
        <v>81</v>
      </c>
      <c r="BT60" s="10" t="s">
        <v>126</v>
      </c>
      <c r="BU60" s="30">
        <v>3331.55</v>
      </c>
      <c r="BV60" s="30"/>
      <c r="BW60" s="9">
        <f t="shared" si="14"/>
        <v>31.69205271447829</v>
      </c>
      <c r="BX60" s="9">
        <f t="shared" si="15"/>
        <v>67.961846376603447</v>
      </c>
      <c r="BY60" s="9">
        <f t="shared" si="16"/>
        <v>0.34610090891825585</v>
      </c>
      <c r="BZ60" s="9">
        <f t="shared" ref="BZ60:BZ65" si="19">T60/23/(T60/23+U60/24.31*2+AA60/40.08*2)*100</f>
        <v>98.478885343666576</v>
      </c>
      <c r="CA60" s="9">
        <f t="shared" ref="CA60:CA65" si="20">AA60/40.08*2/(T60/23+U60/24.31*2+AA60/40.08*2)*100</f>
        <v>0.36333835813556958</v>
      </c>
      <c r="CB60" s="9">
        <f t="shared" ref="CB60:CB65" si="21">U60/24.31*2/(T60/23+U60/24.31*2+AA60/40.08*2)*100</f>
        <v>1.1577762981978508</v>
      </c>
      <c r="CC60" s="9"/>
      <c r="CD60" s="8"/>
      <c r="CE60" s="9">
        <v>2.1855858350322932</v>
      </c>
      <c r="CF60" s="30">
        <v>-23.243856522944217</v>
      </c>
      <c r="CG60" s="30"/>
      <c r="CH60" s="8">
        <v>95.31</v>
      </c>
      <c r="CI60" s="8">
        <v>4.2</v>
      </c>
      <c r="CJ60" s="8"/>
      <c r="CK60" s="31"/>
      <c r="CL60" s="31"/>
      <c r="CM60" s="31"/>
      <c r="CN60" s="8">
        <v>1E-3</v>
      </c>
      <c r="CO60" s="8">
        <v>0.49</v>
      </c>
      <c r="CP60" s="10">
        <f>SUM(CH60:CO60)</f>
        <v>100.001</v>
      </c>
      <c r="CQ60" s="8"/>
      <c r="CR60" s="9"/>
      <c r="CS60" s="9"/>
      <c r="CT60" s="9"/>
      <c r="CU60" s="9"/>
      <c r="CV60" s="9"/>
    </row>
    <row r="61" spans="1:100" x14ac:dyDescent="0.4">
      <c r="A61" s="26">
        <v>12</v>
      </c>
      <c r="B61" s="40" t="s">
        <v>182</v>
      </c>
      <c r="C61" s="71" t="s">
        <v>175</v>
      </c>
      <c r="D61" s="122" t="s">
        <v>416</v>
      </c>
      <c r="E61" s="76">
        <v>45.269348999999998</v>
      </c>
      <c r="F61" s="42">
        <v>36.96246</v>
      </c>
      <c r="G61" s="30">
        <v>45.619971999999997</v>
      </c>
      <c r="H61" s="41">
        <v>44022</v>
      </c>
      <c r="I61" s="9">
        <f>(O61+P61+Z61/1000+AA61/1000+T61/1000+U61/1000+Y61/1000/32*96)/1000</f>
        <v>16.497395626475829</v>
      </c>
      <c r="J61" s="8"/>
      <c r="K61" s="68">
        <f t="shared" si="17"/>
        <v>78.033127990709374</v>
      </c>
      <c r="L61" s="8">
        <v>50</v>
      </c>
      <c r="M61" s="8">
        <v>8.18</v>
      </c>
      <c r="N61" s="109" t="s">
        <v>66</v>
      </c>
      <c r="O61" s="110">
        <v>4519.083333333333</v>
      </c>
      <c r="P61" s="30">
        <v>6086</v>
      </c>
      <c r="Q61" s="30">
        <f t="shared" si="18"/>
        <v>24.749101488118768</v>
      </c>
      <c r="R61" s="30">
        <v>926344.1045639175</v>
      </c>
      <c r="S61" s="30">
        <v>96289.093223462725</v>
      </c>
      <c r="T61" s="30">
        <v>5762937.5954858437</v>
      </c>
      <c r="U61" s="30">
        <v>33726.727072611262</v>
      </c>
      <c r="V61" s="9"/>
      <c r="W61" s="30">
        <v>10730.265740078037</v>
      </c>
      <c r="X61" s="9">
        <v>822.22604233832601</v>
      </c>
      <c r="Y61" s="30">
        <v>8249.7004960395898</v>
      </c>
      <c r="Z61" s="30">
        <v>46149.774183192392</v>
      </c>
      <c r="AA61" s="30">
        <v>24749.094912729506</v>
      </c>
      <c r="AB61" s="9">
        <v>9.9598560634110189</v>
      </c>
      <c r="AC61" s="9"/>
      <c r="AD61" s="9">
        <v>30.774285714285718</v>
      </c>
      <c r="AE61" s="30">
        <v>405.65476194335315</v>
      </c>
      <c r="AF61" s="9"/>
      <c r="AG61" s="9"/>
      <c r="AH61" s="9"/>
      <c r="AI61" s="9"/>
      <c r="AJ61" s="9"/>
      <c r="AK61" s="9">
        <v>22.69715858441559</v>
      </c>
      <c r="AL61" s="30">
        <v>67314.105238095231</v>
      </c>
      <c r="AM61" s="30">
        <v>2785.9510544707146</v>
      </c>
      <c r="AN61" s="30">
        <v>2505.8786325711544</v>
      </c>
      <c r="AO61" s="9">
        <v>107.28139844369386</v>
      </c>
      <c r="AP61" s="30">
        <v>12072.447727272727</v>
      </c>
      <c r="AQ61" s="9"/>
      <c r="AR61" s="30">
        <v>13382.084999999999</v>
      </c>
      <c r="AS61" s="9"/>
      <c r="AT61" s="9"/>
      <c r="AU61" s="9"/>
      <c r="AV61" s="30">
        <v>1945.28</v>
      </c>
      <c r="AW61" s="30">
        <v>5840.4944000000005</v>
      </c>
      <c r="AX61" s="9">
        <v>58.348571428571432</v>
      </c>
      <c r="AY61" s="9"/>
      <c r="AZ61" s="30">
        <v>118.97142857142858</v>
      </c>
      <c r="BA61" s="9"/>
      <c r="BB61" s="9">
        <v>114.80000000000001</v>
      </c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>
        <v>118.84285714285716</v>
      </c>
      <c r="BN61" s="9"/>
      <c r="BO61" s="9"/>
      <c r="BP61" s="9"/>
      <c r="BQ61" s="9"/>
      <c r="BR61" s="10"/>
      <c r="BS61" s="9"/>
      <c r="BT61" s="9">
        <v>47.973485714285701</v>
      </c>
      <c r="BU61" s="30">
        <v>1120.5108571428573</v>
      </c>
      <c r="BV61" s="30"/>
      <c r="BW61" s="9">
        <f t="shared" si="14"/>
        <v>30.11082362821017</v>
      </c>
      <c r="BX61" s="9">
        <f t="shared" si="15"/>
        <v>69.679610615359735</v>
      </c>
      <c r="BY61" s="9">
        <f t="shared" si="16"/>
        <v>0.20956575643009509</v>
      </c>
      <c r="BZ61" s="9">
        <f t="shared" si="19"/>
        <v>98.424924214579988</v>
      </c>
      <c r="CA61" s="9">
        <f t="shared" si="20"/>
        <v>0.48512160031228641</v>
      </c>
      <c r="CB61" s="9">
        <f t="shared" si="21"/>
        <v>1.089954185107731</v>
      </c>
      <c r="CC61" s="9"/>
      <c r="CD61" s="111">
        <v>29.9</v>
      </c>
      <c r="CE61" s="112">
        <v>2.6</v>
      </c>
      <c r="CF61" s="113">
        <v>-16</v>
      </c>
      <c r="CG61" s="30"/>
      <c r="CH61" s="8">
        <v>96.22</v>
      </c>
      <c r="CI61" s="10">
        <v>3.0259999999999998</v>
      </c>
      <c r="CJ61" s="32">
        <v>1.5139999999999999E-3</v>
      </c>
      <c r="CK61" s="8">
        <v>1.1E-4</v>
      </c>
      <c r="CL61" s="8">
        <v>6.0000000000000001E-3</v>
      </c>
      <c r="CM61" s="31">
        <v>4.2770000000000002E-2</v>
      </c>
      <c r="CN61" s="8"/>
      <c r="CO61" s="8">
        <v>0.97160000000000002</v>
      </c>
      <c r="CP61" s="10">
        <f t="shared" ref="CP61" si="22">SUM(CH61:CO61)</f>
        <v>100.267994</v>
      </c>
      <c r="CQ61" s="30"/>
      <c r="CR61" s="9"/>
      <c r="CS61" s="63">
        <v>-49.3</v>
      </c>
      <c r="CT61" s="63">
        <v>-14.4</v>
      </c>
      <c r="CU61" s="9"/>
      <c r="CV61" s="9"/>
    </row>
    <row r="62" spans="1:100" x14ac:dyDescent="0.4">
      <c r="A62" s="26">
        <v>13</v>
      </c>
      <c r="B62" s="40" t="s">
        <v>183</v>
      </c>
      <c r="C62" s="69" t="s">
        <v>184</v>
      </c>
      <c r="D62" s="122" t="s">
        <v>417</v>
      </c>
      <c r="E62" s="76">
        <v>45.189388888888885</v>
      </c>
      <c r="F62" s="42">
        <v>37.183527777777776</v>
      </c>
      <c r="G62" s="8">
        <v>64</v>
      </c>
      <c r="H62" s="41">
        <v>37128</v>
      </c>
      <c r="I62" s="9">
        <f>(O62+P62+Z62/1000+AA62/1000+T62/1000+U62/1000+Y62/1000/32*96)/1000</f>
        <v>0.66934486698324602</v>
      </c>
      <c r="J62" s="8"/>
      <c r="K62" s="68">
        <f t="shared" si="17"/>
        <v>20.330684540732534</v>
      </c>
      <c r="L62" s="8"/>
      <c r="M62" s="27">
        <v>6.74</v>
      </c>
      <c r="N62" s="8">
        <v>0.19</v>
      </c>
      <c r="O62" s="29">
        <v>292.8</v>
      </c>
      <c r="P62" s="30">
        <v>142</v>
      </c>
      <c r="Q62" s="30">
        <f t="shared" si="18"/>
        <v>60.66067806432919</v>
      </c>
      <c r="R62" s="30">
        <v>35236.441048311164</v>
      </c>
      <c r="S62" s="30">
        <v>1491.3889510176696</v>
      </c>
      <c r="T62" s="30">
        <v>39080</v>
      </c>
      <c r="U62" s="30">
        <v>14260</v>
      </c>
      <c r="V62" s="30">
        <v>431.83457561913917</v>
      </c>
      <c r="W62" s="30">
        <v>12698.757763975154</v>
      </c>
      <c r="X62" s="30">
        <v>584.24369747899152</v>
      </c>
      <c r="Y62" s="30">
        <v>20220.226021443064</v>
      </c>
      <c r="Z62" s="30">
        <v>16055</v>
      </c>
      <c r="AA62" s="30">
        <v>104489.18891891679</v>
      </c>
      <c r="AB62" s="9">
        <v>3.99351351351351</v>
      </c>
      <c r="AC62" s="9">
        <v>5.2754843493411245</v>
      </c>
      <c r="AD62" s="30">
        <v>2409.1999999999998</v>
      </c>
      <c r="AE62" s="30">
        <v>5683.5385316917464</v>
      </c>
      <c r="AF62" s="9">
        <v>8.6797157512809999</v>
      </c>
      <c r="AG62" s="9">
        <v>19.191890753428222</v>
      </c>
      <c r="AH62" s="9">
        <v>3.8333686823796569</v>
      </c>
      <c r="AI62" s="30">
        <v>225.18370613591799</v>
      </c>
      <c r="AJ62" s="9" t="s">
        <v>97</v>
      </c>
      <c r="AK62" s="9">
        <v>19.637684517459043</v>
      </c>
      <c r="AL62" s="30">
        <v>389.89360184841826</v>
      </c>
      <c r="AM62" s="30">
        <v>371.6</v>
      </c>
      <c r="AN62" s="30">
        <v>220.3</v>
      </c>
      <c r="AO62" s="9" t="s">
        <v>74</v>
      </c>
      <c r="AP62" s="30">
        <v>940.52995465506285</v>
      </c>
      <c r="AQ62" s="10" t="s">
        <v>74</v>
      </c>
      <c r="AR62" s="30">
        <v>2990.2468749999998</v>
      </c>
      <c r="AS62" s="9" t="s">
        <v>69</v>
      </c>
      <c r="AT62" s="9" t="s">
        <v>69</v>
      </c>
      <c r="AU62" s="9">
        <v>1.66984076299954</v>
      </c>
      <c r="AV62" s="10">
        <v>0.84304437636523022</v>
      </c>
      <c r="AW62" s="30">
        <v>4802.6783333333333</v>
      </c>
      <c r="AX62" s="30"/>
      <c r="AY62" s="10">
        <v>0.24309565564537977</v>
      </c>
      <c r="AZ62" s="10">
        <v>0.33372144863676301</v>
      </c>
      <c r="BA62" s="31">
        <v>2.1946263384246018E-2</v>
      </c>
      <c r="BB62" s="10" t="s">
        <v>79</v>
      </c>
      <c r="BC62" s="10" t="s">
        <v>79</v>
      </c>
      <c r="BD62" s="8" t="s">
        <v>80</v>
      </c>
      <c r="BE62" s="10" t="s">
        <v>81</v>
      </c>
      <c r="BF62" s="10" t="s">
        <v>82</v>
      </c>
      <c r="BG62" s="10" t="s">
        <v>81</v>
      </c>
      <c r="BH62" s="10" t="s">
        <v>82</v>
      </c>
      <c r="BI62" s="31" t="s">
        <v>81</v>
      </c>
      <c r="BJ62" s="10" t="s">
        <v>82</v>
      </c>
      <c r="BK62" s="31" t="s">
        <v>77</v>
      </c>
      <c r="BL62" s="10" t="s">
        <v>78</v>
      </c>
      <c r="BM62" s="31" t="s">
        <v>81</v>
      </c>
      <c r="BN62" s="10" t="s">
        <v>81</v>
      </c>
      <c r="BO62" s="10">
        <v>0.26334554639310259</v>
      </c>
      <c r="BP62" s="31" t="s">
        <v>77</v>
      </c>
      <c r="BQ62" s="10" t="s">
        <v>80</v>
      </c>
      <c r="BR62" s="10">
        <v>0.77272985942971006</v>
      </c>
      <c r="BS62" s="10" t="s">
        <v>78</v>
      </c>
      <c r="BT62" s="10" t="s">
        <v>84</v>
      </c>
      <c r="BU62" s="30">
        <v>307.22500000000002</v>
      </c>
      <c r="BV62" s="30"/>
      <c r="BW62" s="9">
        <f t="shared" si="14"/>
        <v>47.695871442741939</v>
      </c>
      <c r="BX62" s="9">
        <f t="shared" si="15"/>
        <v>39.746559535618289</v>
      </c>
      <c r="BY62" s="9">
        <f t="shared" si="16"/>
        <v>12.557569021639765</v>
      </c>
      <c r="BZ62" s="9">
        <f t="shared" si="19"/>
        <v>21.012350493775276</v>
      </c>
      <c r="CA62" s="9">
        <f t="shared" si="20"/>
        <v>64.479484721211762</v>
      </c>
      <c r="CB62" s="9">
        <f t="shared" si="21"/>
        <v>14.508164785012958</v>
      </c>
      <c r="CC62" s="9"/>
      <c r="CD62" s="8"/>
      <c r="CE62" s="9">
        <v>0.74920136799416914</v>
      </c>
      <c r="CF62" s="30">
        <v>-10.758428716173452</v>
      </c>
      <c r="CG62" s="30"/>
      <c r="CH62" s="8">
        <v>93.39</v>
      </c>
      <c r="CI62" s="8">
        <v>6.13</v>
      </c>
      <c r="CJ62" s="8"/>
      <c r="CK62" s="31"/>
      <c r="CL62" s="31"/>
      <c r="CM62" s="31"/>
      <c r="CN62" s="8">
        <v>1E-3</v>
      </c>
      <c r="CO62" s="8">
        <v>0.48</v>
      </c>
      <c r="CP62" s="10">
        <f>SUM(CH62:CO62)</f>
        <v>100.001</v>
      </c>
      <c r="CQ62" s="8"/>
      <c r="CR62" s="9"/>
      <c r="CS62" s="9">
        <v>-49.8</v>
      </c>
      <c r="CT62" s="9">
        <v>-21.8</v>
      </c>
      <c r="CU62" s="9"/>
      <c r="CV62" s="9"/>
    </row>
    <row r="63" spans="1:100" x14ac:dyDescent="0.4">
      <c r="A63" s="26">
        <v>13</v>
      </c>
      <c r="B63" s="40" t="s">
        <v>185</v>
      </c>
      <c r="C63" s="69" t="s">
        <v>184</v>
      </c>
      <c r="D63" s="122" t="s">
        <v>417</v>
      </c>
      <c r="E63" s="76">
        <v>45.189388888888885</v>
      </c>
      <c r="F63" s="42">
        <v>37.183527777777776</v>
      </c>
      <c r="G63" s="8">
        <v>64</v>
      </c>
      <c r="H63" s="41">
        <v>40000</v>
      </c>
      <c r="I63" s="9">
        <f>(O63+P63+Z63/1000+AA63/1000+T63/1000+U63/1000+Y63/1000/32*96)/1000</f>
        <v>0.77336951292182232</v>
      </c>
      <c r="J63" s="8">
        <v>30.3</v>
      </c>
      <c r="K63" s="68">
        <f t="shared" si="17"/>
        <v>18.421119642567703</v>
      </c>
      <c r="L63" s="8"/>
      <c r="M63" s="8"/>
      <c r="N63" s="9"/>
      <c r="O63" s="29">
        <v>366</v>
      </c>
      <c r="P63" s="30">
        <v>142</v>
      </c>
      <c r="Q63" s="30">
        <f t="shared" si="18"/>
        <v>26.857124698106013</v>
      </c>
      <c r="R63" s="30">
        <v>22556.450802815827</v>
      </c>
      <c r="S63" s="30">
        <v>621.6865123171026</v>
      </c>
      <c r="T63" s="30">
        <v>107646.22973925297</v>
      </c>
      <c r="U63" s="30">
        <v>7327.6853320567379</v>
      </c>
      <c r="V63" s="9">
        <v>57.311352173913043</v>
      </c>
      <c r="W63" s="30">
        <v>9669.9514827255152</v>
      </c>
      <c r="X63" s="30">
        <v>654.64005322040612</v>
      </c>
      <c r="Y63" s="30">
        <v>8952.3748993686713</v>
      </c>
      <c r="Z63" s="30">
        <v>9289.0653981721534</v>
      </c>
      <c r="AA63" s="30">
        <v>114249.4077542345</v>
      </c>
      <c r="AB63" s="9">
        <v>4.6600235083447998</v>
      </c>
      <c r="AC63" s="9">
        <v>6.1327784615384617</v>
      </c>
      <c r="AD63" s="30">
        <v>1583.8259427858154</v>
      </c>
      <c r="AE63" s="30">
        <v>4590.4907753875486</v>
      </c>
      <c r="AF63" s="9">
        <v>15.425824559834975</v>
      </c>
      <c r="AG63" s="9">
        <v>18.845302474450087</v>
      </c>
      <c r="AH63" s="9">
        <v>2.523076923076923</v>
      </c>
      <c r="AI63" s="9">
        <v>67.609461538461531</v>
      </c>
      <c r="AJ63" s="30"/>
      <c r="AK63" s="9">
        <v>12.618655450532213</v>
      </c>
      <c r="AL63" s="30">
        <v>397.69001000000003</v>
      </c>
      <c r="AM63" s="30">
        <v>251.66465305737509</v>
      </c>
      <c r="AN63" s="9">
        <v>99.474951912114875</v>
      </c>
      <c r="AO63" s="9">
        <v>81.706284368830012</v>
      </c>
      <c r="AP63" s="30">
        <v>558.62088888888889</v>
      </c>
      <c r="AQ63" s="9">
        <v>31.944461538461535</v>
      </c>
      <c r="AR63" s="30">
        <v>1445.0422078431375</v>
      </c>
      <c r="AS63" s="30">
        <v>875.74969230769227</v>
      </c>
      <c r="AT63" s="8"/>
      <c r="AU63" s="30">
        <v>1037.6487500000001</v>
      </c>
      <c r="AV63" s="30">
        <v>363.17712076923078</v>
      </c>
      <c r="AW63" s="30">
        <v>5283.5547047619048</v>
      </c>
      <c r="AX63" s="30">
        <v>637.3409473684211</v>
      </c>
      <c r="AY63" s="9">
        <v>53.931706949848802</v>
      </c>
      <c r="AZ63" s="30">
        <v>100.58281818181818</v>
      </c>
      <c r="BA63" s="9">
        <v>13.774521739130435</v>
      </c>
      <c r="BB63" s="9">
        <v>79.086352272727282</v>
      </c>
      <c r="BC63" s="9">
        <v>16.077961538461537</v>
      </c>
      <c r="BD63" s="9">
        <v>3.3079999999999998</v>
      </c>
      <c r="BE63" s="9">
        <v>17.004807692307601</v>
      </c>
      <c r="BF63" s="9">
        <v>1.9138461538461538</v>
      </c>
      <c r="BG63" s="9">
        <v>12.073316666666667</v>
      </c>
      <c r="BH63" s="9">
        <v>2.5196799999999997</v>
      </c>
      <c r="BI63" s="9">
        <v>5.2639599999999991</v>
      </c>
      <c r="BJ63" s="9">
        <v>1.2888000000000002</v>
      </c>
      <c r="BK63" s="9">
        <v>5.3190747826086957</v>
      </c>
      <c r="BL63" s="9">
        <v>1.1733600000000002</v>
      </c>
      <c r="BM63" s="9">
        <v>17.9876</v>
      </c>
      <c r="BN63" s="9">
        <v>11.122</v>
      </c>
      <c r="BO63" s="30">
        <v>158.76811538461538</v>
      </c>
      <c r="BP63" s="9">
        <v>2.4306495726495729</v>
      </c>
      <c r="BQ63" s="9">
        <v>8.3427564182194622</v>
      </c>
      <c r="BR63" s="10">
        <v>0.83949937499999994</v>
      </c>
      <c r="BS63" s="30"/>
      <c r="BT63" s="9">
        <v>17.930692307692308</v>
      </c>
      <c r="BU63" s="9">
        <v>55.26398857142857</v>
      </c>
      <c r="BV63" s="9"/>
      <c r="BW63" s="9">
        <f t="shared" si="14"/>
        <v>56.820746116874346</v>
      </c>
      <c r="BX63" s="9">
        <f t="shared" si="15"/>
        <v>37.880497411249557</v>
      </c>
      <c r="BY63" s="9">
        <f t="shared" si="16"/>
        <v>5.2987564718761018</v>
      </c>
      <c r="BZ63" s="9">
        <f t="shared" si="19"/>
        <v>42.609147419406881</v>
      </c>
      <c r="CA63" s="9">
        <f t="shared" si="20"/>
        <v>51.902478493697366</v>
      </c>
      <c r="CB63" s="9">
        <f t="shared" si="21"/>
        <v>5.4883740868957469</v>
      </c>
      <c r="CC63" s="9"/>
      <c r="CD63" s="9">
        <v>-12.1</v>
      </c>
      <c r="CE63" s="9">
        <v>-3.2</v>
      </c>
      <c r="CF63" s="30">
        <v>-33</v>
      </c>
      <c r="CG63" s="9"/>
      <c r="CH63" s="10">
        <v>82.43</v>
      </c>
      <c r="CI63" s="9">
        <v>5.27</v>
      </c>
      <c r="CJ63" s="32">
        <v>2.5133E-3</v>
      </c>
      <c r="CK63" s="32"/>
      <c r="CL63" s="32"/>
      <c r="CM63" s="32"/>
      <c r="CN63" s="31">
        <v>6.5257999999999997E-2</v>
      </c>
      <c r="CO63" s="10">
        <v>0.70750999999999997</v>
      </c>
      <c r="CP63" s="10">
        <f t="shared" ref="CP63:CP68" si="23">SUM(CH63:CO63)</f>
        <v>88.475281300000006</v>
      </c>
      <c r="CQ63" s="8"/>
      <c r="CR63" s="118">
        <v>-2.58</v>
      </c>
      <c r="CS63" s="117">
        <v>-52</v>
      </c>
      <c r="CT63" s="126">
        <v>-13.7</v>
      </c>
      <c r="CU63" s="9"/>
      <c r="CV63" s="119">
        <v>-201.59</v>
      </c>
    </row>
    <row r="64" spans="1:100" x14ac:dyDescent="0.4">
      <c r="A64" s="26">
        <v>13</v>
      </c>
      <c r="B64" s="40" t="s">
        <v>186</v>
      </c>
      <c r="C64" s="69" t="s">
        <v>184</v>
      </c>
      <c r="D64" s="122" t="s">
        <v>417</v>
      </c>
      <c r="E64" s="76">
        <v>45.18938</v>
      </c>
      <c r="F64" s="42">
        <v>37.183712</v>
      </c>
      <c r="G64" s="30">
        <v>66.840401</v>
      </c>
      <c r="H64" s="41">
        <v>44020</v>
      </c>
      <c r="I64" s="8"/>
      <c r="J64" s="25"/>
      <c r="K64" s="68">
        <f t="shared" si="17"/>
        <v>22.143614177045379</v>
      </c>
      <c r="L64" s="21"/>
      <c r="M64" s="8">
        <v>5.59</v>
      </c>
      <c r="N64" s="8"/>
      <c r="O64" s="110">
        <v>200</v>
      </c>
      <c r="P64" s="30"/>
      <c r="Q64" s="30">
        <f t="shared" si="18"/>
        <v>19.863145929086329</v>
      </c>
      <c r="R64" s="30">
        <v>23524.180752238262</v>
      </c>
      <c r="S64" s="9">
        <v>202.59450974421739</v>
      </c>
      <c r="T64" s="30">
        <v>8359.6715392607784</v>
      </c>
      <c r="U64" s="30">
        <v>5140.7398504807097</v>
      </c>
      <c r="V64" s="9">
        <v>77.45814285714286</v>
      </c>
      <c r="W64" s="30">
        <v>12084.117524947011</v>
      </c>
      <c r="X64" s="30">
        <v>422.50800560018911</v>
      </c>
      <c r="Y64" s="30">
        <v>6621.0486430287765</v>
      </c>
      <c r="Z64" s="30">
        <v>5779.1632359077212</v>
      </c>
      <c r="AA64" s="30">
        <v>55641.928975472474</v>
      </c>
      <c r="AB64" s="9">
        <v>3.185766360223798</v>
      </c>
      <c r="AC64" s="9" t="s">
        <v>187</v>
      </c>
      <c r="AD64" s="30">
        <v>2067.9656972596767</v>
      </c>
      <c r="AE64" s="30">
        <v>5698.112150353888</v>
      </c>
      <c r="AF64" s="9">
        <v>27.337375694130824</v>
      </c>
      <c r="AG64" s="9">
        <v>12.061017954827156</v>
      </c>
      <c r="AH64" s="9">
        <v>0.99374999999999991</v>
      </c>
      <c r="AI64" s="9">
        <v>13.858642857142856</v>
      </c>
      <c r="AJ64" s="10" t="s">
        <v>188</v>
      </c>
      <c r="AK64" s="9">
        <v>29.683093228047717</v>
      </c>
      <c r="AL64" s="9">
        <v>75.902630952380946</v>
      </c>
      <c r="AM64" s="30">
        <v>166.61485368973064</v>
      </c>
      <c r="AN64" s="9">
        <v>80.584431743268112</v>
      </c>
      <c r="AO64" s="30">
        <v>412.58757560886477</v>
      </c>
      <c r="AP64" s="30">
        <v>404.84375</v>
      </c>
      <c r="AQ64" s="9">
        <v>9.1600714285714293</v>
      </c>
      <c r="AR64" s="30">
        <v>1647.1021249999999</v>
      </c>
      <c r="AS64" s="9"/>
      <c r="AT64" s="9">
        <v>6.1006149464955977</v>
      </c>
      <c r="AU64" s="9">
        <v>24.279999999999998</v>
      </c>
      <c r="AV64" s="30">
        <v>1339.3088571428571</v>
      </c>
      <c r="AW64" s="30">
        <v>4129.2123599999995</v>
      </c>
      <c r="AX64" s="9">
        <v>7.0007142857142854</v>
      </c>
      <c r="AY64" s="30">
        <v>212.39787337876376</v>
      </c>
      <c r="AZ64" s="30">
        <v>526.41428571428571</v>
      </c>
      <c r="BA64" s="9">
        <v>60.286285714285711</v>
      </c>
      <c r="BB64" s="30">
        <v>258.29320000000001</v>
      </c>
      <c r="BC64" s="9">
        <v>70.022642857142856</v>
      </c>
      <c r="BD64" s="9">
        <v>15.90149270311705</v>
      </c>
      <c r="BE64" s="9">
        <v>76.517714285714291</v>
      </c>
      <c r="BF64" s="9">
        <v>11.907857142857141</v>
      </c>
      <c r="BG64" s="9">
        <v>68.682571428571421</v>
      </c>
      <c r="BH64" s="9">
        <v>13.873000000000001</v>
      </c>
      <c r="BI64" s="9">
        <v>39.353285714285718</v>
      </c>
      <c r="BJ64" s="9">
        <v>5.4130000000000003</v>
      </c>
      <c r="BK64" s="9">
        <v>33.936</v>
      </c>
      <c r="BL64" s="9">
        <v>6.1729285714285709</v>
      </c>
      <c r="BM64" s="9">
        <v>12.413</v>
      </c>
      <c r="BN64" s="9"/>
      <c r="BO64" s="9">
        <v>47.120857142857147</v>
      </c>
      <c r="BP64" s="9">
        <v>6.3642142857142856</v>
      </c>
      <c r="BQ64" s="9">
        <v>4.1223946428571425</v>
      </c>
      <c r="BR64" s="9">
        <v>0.27395454545454545</v>
      </c>
      <c r="BS64" s="9">
        <v>4.2166299999999994</v>
      </c>
      <c r="BT64" s="9">
        <v>54.790617142857144</v>
      </c>
      <c r="BU64" s="9">
        <v>39.795971428571434</v>
      </c>
      <c r="BV64" s="9"/>
      <c r="BW64" s="9"/>
      <c r="BX64" s="9"/>
      <c r="BY64" s="9"/>
      <c r="BZ64" s="9">
        <f t="shared" si="19"/>
        <v>10.201239297334611</v>
      </c>
      <c r="CA64" s="9">
        <f t="shared" si="20"/>
        <v>77.928446329668745</v>
      </c>
      <c r="CB64" s="9">
        <f t="shared" si="21"/>
        <v>11.870314372996642</v>
      </c>
      <c r="CC64" s="9"/>
      <c r="CD64" s="8"/>
      <c r="CE64" s="9"/>
      <c r="CF64" s="30"/>
      <c r="CG64" s="9"/>
      <c r="CH64" s="131">
        <v>86.01</v>
      </c>
      <c r="CI64" s="131">
        <v>3.37</v>
      </c>
      <c r="CJ64" s="131">
        <v>1.5E-3</v>
      </c>
      <c r="CK64" s="131">
        <v>2.9000000000000001E-2</v>
      </c>
      <c r="CL64" s="131" t="s">
        <v>516</v>
      </c>
      <c r="CM64" s="131">
        <v>0.16</v>
      </c>
      <c r="CN64" s="66"/>
      <c r="CO64" s="131">
        <v>1.28</v>
      </c>
      <c r="CP64" s="10">
        <f t="shared" si="23"/>
        <v>90.850499999999997</v>
      </c>
      <c r="CQ64" s="8"/>
      <c r="CR64" s="9"/>
      <c r="CS64" s="63">
        <v>-47.9</v>
      </c>
      <c r="CT64" s="63">
        <v>5.9</v>
      </c>
      <c r="CU64" s="63">
        <v>-29.1</v>
      </c>
      <c r="CV64" s="63"/>
    </row>
    <row r="65" spans="1:100" x14ac:dyDescent="0.4">
      <c r="A65" s="26">
        <v>13</v>
      </c>
      <c r="B65" s="40" t="s">
        <v>189</v>
      </c>
      <c r="C65" s="69" t="s">
        <v>190</v>
      </c>
      <c r="D65" s="120" t="s">
        <v>418</v>
      </c>
      <c r="E65" s="76">
        <v>45.188811000000001</v>
      </c>
      <c r="F65" s="42">
        <v>37.187609000000002</v>
      </c>
      <c r="G65" s="30">
        <v>56.871989999999997</v>
      </c>
      <c r="H65" s="41">
        <v>44022</v>
      </c>
      <c r="I65" s="9">
        <f>(O65+P65+Z65/1000+AA65/1000+T65/1000+U65/1000+Y65/1000/32*96)/1000</f>
        <v>25.068150138464173</v>
      </c>
      <c r="J65" s="27">
        <v>23</v>
      </c>
      <c r="K65" s="68">
        <f t="shared" si="17"/>
        <v>111.09983488251646</v>
      </c>
      <c r="L65" s="8">
        <v>14</v>
      </c>
      <c r="M65" s="8">
        <v>6.8</v>
      </c>
      <c r="N65" s="109" t="s">
        <v>66</v>
      </c>
      <c r="O65" s="110">
        <v>2755.1666666666665</v>
      </c>
      <c r="P65" s="30">
        <v>12238</v>
      </c>
      <c r="Q65" s="30">
        <f t="shared" si="18"/>
        <v>6.9450716516847812</v>
      </c>
      <c r="R65" s="30">
        <v>6521764.6736969799</v>
      </c>
      <c r="S65" s="30">
        <v>55855.60396888687</v>
      </c>
      <c r="T65" s="30">
        <v>9755799.1152828969</v>
      </c>
      <c r="U65" s="30">
        <v>139343.05942047376</v>
      </c>
      <c r="V65" s="9"/>
      <c r="W65" s="30">
        <v>13972.894973795395</v>
      </c>
      <c r="X65" s="30"/>
      <c r="Y65" s="30">
        <v>2315.0238838949272</v>
      </c>
      <c r="Z65" s="30">
        <v>98989.136941435005</v>
      </c>
      <c r="AA65" s="30">
        <v>73907.088501020044</v>
      </c>
      <c r="AB65" s="9">
        <v>7.5493232905017766</v>
      </c>
      <c r="AC65" s="9"/>
      <c r="AD65" s="9">
        <v>71.674285714285716</v>
      </c>
      <c r="AE65" s="30"/>
      <c r="AF65" s="9"/>
      <c r="AG65" s="9"/>
      <c r="AH65" s="9"/>
      <c r="AI65" s="9"/>
      <c r="AJ65" s="9"/>
      <c r="AK65" s="9"/>
      <c r="AL65" s="30">
        <v>94664.105238095231</v>
      </c>
      <c r="AM65" s="30">
        <v>7913.7058539239133</v>
      </c>
      <c r="AN65" s="30">
        <v>9225.2362534049644</v>
      </c>
      <c r="AO65" s="30"/>
      <c r="AP65" s="30">
        <v>2985.3500000000004</v>
      </c>
      <c r="AQ65" s="30"/>
      <c r="AR65" s="30">
        <v>4176.0850000000009</v>
      </c>
      <c r="AS65" s="30"/>
      <c r="AT65" s="30"/>
      <c r="AU65" s="30"/>
      <c r="AV65" s="30">
        <v>848.35428571428565</v>
      </c>
      <c r="AW65" s="30">
        <v>22068.654399999999</v>
      </c>
      <c r="AX65" s="30">
        <v>364.66857142857145</v>
      </c>
      <c r="AY65" s="30"/>
      <c r="AZ65" s="9">
        <v>51.811428571428578</v>
      </c>
      <c r="BA65" s="9"/>
      <c r="BB65" s="9"/>
      <c r="BC65" s="9">
        <v>75.800000000000011</v>
      </c>
      <c r="BD65" s="9"/>
      <c r="BE65" s="9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9"/>
      <c r="BU65" s="30">
        <v>566.81485714285725</v>
      </c>
      <c r="BV65" s="30"/>
      <c r="BW65" s="9">
        <f>O65/61/(O65/61+P65/35.5+Q65/96*2)*100</f>
        <v>11.579897553467108</v>
      </c>
      <c r="BX65" s="9">
        <f>P65/35.5/(O65/61+P65/35.5+Q65/96*2)*100</f>
        <v>88.38300686616941</v>
      </c>
      <c r="BY65" s="9">
        <f>Q65/96*2/(O65/61+P65/35.5+Q65/96*2)*100</f>
        <v>3.7095580363467884E-2</v>
      </c>
      <c r="BZ65" s="9">
        <f t="shared" si="19"/>
        <v>96.551049641166969</v>
      </c>
      <c r="CA65" s="9">
        <f t="shared" si="20"/>
        <v>0.83948001826235974</v>
      </c>
      <c r="CB65" s="9">
        <f t="shared" si="21"/>
        <v>2.6094703405706703</v>
      </c>
      <c r="CC65" s="9"/>
      <c r="CD65" s="111">
        <v>20.7</v>
      </c>
      <c r="CE65" s="112">
        <v>-2.5</v>
      </c>
      <c r="CF65" s="113">
        <v>-23</v>
      </c>
      <c r="CG65" s="30"/>
      <c r="CH65" s="62">
        <v>82.72</v>
      </c>
      <c r="CI65" s="114">
        <v>12.34</v>
      </c>
      <c r="CJ65" s="8"/>
      <c r="CK65" s="62">
        <v>2.767E-2</v>
      </c>
      <c r="CL65" s="62"/>
      <c r="CM65" s="62">
        <v>9.7479999999999997E-2</v>
      </c>
      <c r="CN65" s="8"/>
      <c r="CO65" s="62">
        <v>4.758</v>
      </c>
      <c r="CP65" s="10">
        <f t="shared" si="23"/>
        <v>99.943150000000003</v>
      </c>
      <c r="CQ65" s="30"/>
      <c r="CR65" s="9"/>
      <c r="CS65" s="63">
        <v>-55.8</v>
      </c>
      <c r="CT65" s="63">
        <v>3.9</v>
      </c>
      <c r="CU65" s="9"/>
      <c r="CV65" s="9"/>
    </row>
    <row r="66" spans="1:100" x14ac:dyDescent="0.4">
      <c r="A66" s="26">
        <v>14</v>
      </c>
      <c r="B66" s="40" t="s">
        <v>191</v>
      </c>
      <c r="C66" s="69" t="s">
        <v>192</v>
      </c>
      <c r="D66" s="122" t="s">
        <v>419</v>
      </c>
      <c r="E66" s="76">
        <v>45.249484000000002</v>
      </c>
      <c r="F66" s="42">
        <v>37.200062000000003</v>
      </c>
      <c r="G66" s="30">
        <v>63.985287</v>
      </c>
      <c r="H66" s="41">
        <v>40000</v>
      </c>
      <c r="I66" s="9"/>
      <c r="J66" s="8"/>
      <c r="K66" s="68"/>
      <c r="L66" s="8"/>
      <c r="M66" s="8"/>
      <c r="N66" s="9"/>
      <c r="O66" s="29">
        <v>2196</v>
      </c>
      <c r="P66" s="30">
        <v>2979</v>
      </c>
      <c r="Q66" s="30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9">
        <f>O66/61/(O66/61+P66/35.5+Q66/96*2)*100</f>
        <v>30.021141649048626</v>
      </c>
      <c r="BX66" s="9">
        <f>P66/35.5/(O66/61+P66/35.5+Q66/96*2)*100</f>
        <v>69.978858350951384</v>
      </c>
      <c r="BY66" s="9">
        <f>Q66/96*2/(O66/61+P66/35.5+Q66/96*2)*100</f>
        <v>0</v>
      </c>
      <c r="BZ66" s="9"/>
      <c r="CA66" s="9"/>
      <c r="CB66" s="9"/>
      <c r="CC66" s="9"/>
      <c r="CD66" s="9">
        <v>29</v>
      </c>
      <c r="CE66" s="9">
        <v>0.6</v>
      </c>
      <c r="CF66" s="30">
        <v>-28</v>
      </c>
      <c r="CG66" s="8"/>
      <c r="CH66" s="10">
        <v>85.685000000000002</v>
      </c>
      <c r="CI66" s="9">
        <v>7.2062999999999997</v>
      </c>
      <c r="CJ66" s="32">
        <v>8.5767000000000005E-4</v>
      </c>
      <c r="CK66" s="32">
        <v>1.2363000000000001E-3</v>
      </c>
      <c r="CL66" s="32"/>
      <c r="CM66" s="32"/>
      <c r="CN66" s="31">
        <v>6.5506999999999996E-2</v>
      </c>
      <c r="CO66" s="10">
        <v>1.3579000000000001</v>
      </c>
      <c r="CP66" s="10">
        <v>94.316999999999993</v>
      </c>
      <c r="CQ66" s="8"/>
      <c r="CR66" s="118">
        <v>-3.3</v>
      </c>
      <c r="CS66" s="126">
        <v>-54.5</v>
      </c>
      <c r="CT66" s="126">
        <v>16.5</v>
      </c>
      <c r="CU66" s="9"/>
      <c r="CV66" s="9"/>
    </row>
    <row r="67" spans="1:100" x14ac:dyDescent="0.4">
      <c r="A67" s="26">
        <v>14</v>
      </c>
      <c r="B67" s="40" t="s">
        <v>193</v>
      </c>
      <c r="C67" s="69" t="s">
        <v>192</v>
      </c>
      <c r="D67" s="122" t="s">
        <v>419</v>
      </c>
      <c r="E67" s="76">
        <v>45.249484000000002</v>
      </c>
      <c r="F67" s="42">
        <v>37.200062000000003</v>
      </c>
      <c r="G67" s="30">
        <v>63.985287</v>
      </c>
      <c r="H67" s="41">
        <v>44022</v>
      </c>
      <c r="I67" s="9">
        <f>(O67+P67+Z67/1000+AA67/1000+T67/1000+U67/1000+Y67/1000/32*96)/1000</f>
        <v>15.452912582660733</v>
      </c>
      <c r="J67" s="8"/>
      <c r="K67" s="68">
        <f>2200/(LOG(((U67/1000)^0.5)/(R67/1000000))+5.47)-273</f>
        <v>63.011061343813367</v>
      </c>
      <c r="L67" s="8"/>
      <c r="M67" s="8"/>
      <c r="N67" s="109" t="s">
        <v>66</v>
      </c>
      <c r="O67" s="110">
        <v>3573.5833333333335</v>
      </c>
      <c r="P67" s="30">
        <v>6119</v>
      </c>
      <c r="Q67" s="30">
        <f>Y67/32*96/1000</f>
        <v>6.2239103653742678</v>
      </c>
      <c r="R67" s="30">
        <v>609243.27436903003</v>
      </c>
      <c r="S67" s="30">
        <v>37795.650084685702</v>
      </c>
      <c r="T67" s="30">
        <v>5659209.4624888003</v>
      </c>
      <c r="U67" s="30">
        <v>53013.7459568751</v>
      </c>
      <c r="V67" s="9"/>
      <c r="W67" s="30">
        <v>3993.0736730311919</v>
      </c>
      <c r="X67" s="30"/>
      <c r="Y67" s="30">
        <v>2074.6367884580891</v>
      </c>
      <c r="Z67" s="30">
        <v>25863.5300824265</v>
      </c>
      <c r="AA67" s="30">
        <v>16018.600433923768</v>
      </c>
      <c r="AB67" s="9"/>
      <c r="AC67" s="9"/>
      <c r="AD67" s="9">
        <v>13.514285714285714</v>
      </c>
      <c r="AE67" s="30">
        <v>682.54180596959998</v>
      </c>
      <c r="AF67" s="9"/>
      <c r="AG67" s="9"/>
      <c r="AH67" s="9"/>
      <c r="AI67" s="9"/>
      <c r="AJ67" s="9">
        <v>4.7914285714285718</v>
      </c>
      <c r="AK67" s="9">
        <v>9.0137141298701309</v>
      </c>
      <c r="AL67" s="30">
        <v>80844.105238095231</v>
      </c>
      <c r="AM67" s="30">
        <v>3022.5356231190935</v>
      </c>
      <c r="AN67" s="30">
        <v>2828.2243860245144</v>
      </c>
      <c r="AO67" s="30"/>
      <c r="AP67" s="30">
        <v>7243.1454545454544</v>
      </c>
      <c r="AQ67" s="30"/>
      <c r="AR67" s="30">
        <v>9802.0849999999991</v>
      </c>
      <c r="AS67" s="30"/>
      <c r="AT67" s="30"/>
      <c r="AU67" s="30"/>
      <c r="AV67" s="30">
        <v>752.35428571428565</v>
      </c>
      <c r="AW67" s="30">
        <v>6447.8544000000002</v>
      </c>
      <c r="AX67" s="30">
        <v>389.62857142857149</v>
      </c>
      <c r="AY67" s="30"/>
      <c r="AZ67" s="9">
        <v>58.491428571428585</v>
      </c>
      <c r="BA67" s="9"/>
      <c r="BB67" s="9">
        <v>38.088000000000008</v>
      </c>
      <c r="BC67" s="9">
        <v>24.905714285714282</v>
      </c>
      <c r="BD67" s="9"/>
      <c r="BE67" s="9">
        <v>46.919999999999995</v>
      </c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9">
        <v>48.101485714285715</v>
      </c>
      <c r="BU67" s="30">
        <v>157.30445714285713</v>
      </c>
      <c r="BV67" s="30"/>
      <c r="BW67" s="9">
        <f>O67/61/(O67/61+P67/35.5+Q67/96*2)*100</f>
        <v>25.352058740421963</v>
      </c>
      <c r="BX67" s="9">
        <f>P67/35.5/(O67/61+P67/35.5+Q67/96*2)*100</f>
        <v>74.591828549344001</v>
      </c>
      <c r="BY67" s="9">
        <f>Q67/96*2/(O67/61+P67/35.5+Q67/96*2)*100</f>
        <v>5.6112710234029001E-2</v>
      </c>
      <c r="BZ67" s="9">
        <f>T67/23/(T67/23+U67/24.31*2+AA67/40.08*2)*100</f>
        <v>97.945647833109945</v>
      </c>
      <c r="CA67" s="9">
        <f>AA67/40.08*2/(T67/23+U67/24.31*2+AA67/40.08*2)*100</f>
        <v>0.31818819414086225</v>
      </c>
      <c r="CB67" s="9">
        <f>U67/24.31*2/(T67/23+U67/24.31*2+AA67/40.08*2)*100</f>
        <v>1.7361639727491822</v>
      </c>
      <c r="CC67" s="9"/>
      <c r="CD67" s="111">
        <v>26.8</v>
      </c>
      <c r="CE67" s="112">
        <v>1.3</v>
      </c>
      <c r="CF67" s="113">
        <v>-24</v>
      </c>
      <c r="CG67" s="30"/>
      <c r="CH67" s="66">
        <v>94.36</v>
      </c>
      <c r="CI67" s="66">
        <v>2.41</v>
      </c>
      <c r="CJ67" s="66">
        <v>3.5000000000000001E-3</v>
      </c>
      <c r="CK67" s="66">
        <v>0.02</v>
      </c>
      <c r="CL67" s="66" t="s">
        <v>516</v>
      </c>
      <c r="CM67" s="66">
        <v>7.4999999999999997E-2</v>
      </c>
      <c r="CN67" s="66"/>
      <c r="CO67" s="66">
        <v>2.48</v>
      </c>
      <c r="CP67" s="10">
        <f>SUM(CH67:CO67)</f>
        <v>99.348500000000001</v>
      </c>
      <c r="CQ67" s="30"/>
      <c r="CR67" s="9">
        <v>-2.1150000000000002</v>
      </c>
      <c r="CS67" s="63">
        <v>-51.8</v>
      </c>
      <c r="CT67" s="63">
        <v>-7.8</v>
      </c>
      <c r="CU67" s="63">
        <v>-27.9</v>
      </c>
      <c r="CV67" s="63"/>
    </row>
    <row r="68" spans="1:100" x14ac:dyDescent="0.4">
      <c r="A68" s="26">
        <v>15</v>
      </c>
      <c r="B68" s="40" t="s">
        <v>194</v>
      </c>
      <c r="C68" s="69" t="s">
        <v>195</v>
      </c>
      <c r="D68" s="120" t="s">
        <v>421</v>
      </c>
      <c r="E68" s="76">
        <v>45.312109</v>
      </c>
      <c r="F68" s="42">
        <v>37.082014999999998</v>
      </c>
      <c r="G68" s="30">
        <v>64.861678999999995</v>
      </c>
      <c r="H68" s="41">
        <v>44018</v>
      </c>
      <c r="I68" s="8"/>
      <c r="J68" s="8"/>
      <c r="K68" s="68"/>
      <c r="L68" s="8"/>
      <c r="M68" s="8"/>
      <c r="N68" s="28" t="s">
        <v>196</v>
      </c>
      <c r="O68" s="110"/>
      <c r="P68" s="132">
        <v>2521</v>
      </c>
      <c r="Q68" s="30"/>
      <c r="R68" s="30"/>
      <c r="S68" s="30"/>
      <c r="T68" s="30"/>
      <c r="U68" s="30"/>
      <c r="V68" s="9"/>
      <c r="W68" s="30"/>
      <c r="X68" s="30"/>
      <c r="Y68" s="30"/>
      <c r="Z68" s="30"/>
      <c r="AA68" s="30"/>
      <c r="AB68" s="9"/>
      <c r="AC68" s="9"/>
      <c r="AD68" s="9"/>
      <c r="AE68" s="30"/>
      <c r="AF68" s="9"/>
      <c r="AG68" s="9"/>
      <c r="AH68" s="9"/>
      <c r="AI68" s="9"/>
      <c r="AJ68" s="9"/>
      <c r="AK68" s="9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9"/>
      <c r="AY68" s="30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9"/>
      <c r="BX68" s="9"/>
      <c r="BY68" s="9"/>
      <c r="BZ68" s="9"/>
      <c r="CA68" s="9"/>
      <c r="CB68" s="9"/>
      <c r="CC68" s="9"/>
      <c r="CD68" s="111"/>
      <c r="CE68" s="112"/>
      <c r="CF68" s="113"/>
      <c r="CG68" s="30"/>
      <c r="CH68" s="62">
        <v>85.55</v>
      </c>
      <c r="CI68" s="114">
        <v>10.42</v>
      </c>
      <c r="CJ68" s="62">
        <v>1.269E-2</v>
      </c>
      <c r="CK68" s="62">
        <v>3.2849999999999997E-2</v>
      </c>
      <c r="CL68" s="62"/>
      <c r="CM68" s="62">
        <v>1.554E-2</v>
      </c>
      <c r="CN68" s="8"/>
      <c r="CO68" s="62">
        <v>3.67</v>
      </c>
      <c r="CP68" s="10">
        <f t="shared" si="23"/>
        <v>99.701080000000005</v>
      </c>
      <c r="CQ68" s="30"/>
      <c r="CR68" s="9">
        <v>-2.9333333333333336</v>
      </c>
      <c r="CS68" s="63">
        <v>-40.1</v>
      </c>
      <c r="CT68" s="63">
        <v>4</v>
      </c>
      <c r="CU68" s="9"/>
      <c r="CV68" s="9"/>
    </row>
    <row r="69" spans="1:100" x14ac:dyDescent="0.4">
      <c r="A69" s="26">
        <v>16</v>
      </c>
      <c r="B69" s="40" t="s">
        <v>197</v>
      </c>
      <c r="C69" s="69" t="s">
        <v>198</v>
      </c>
      <c r="D69" s="133" t="s">
        <v>420</v>
      </c>
      <c r="E69" s="76">
        <v>45.324611111111118</v>
      </c>
      <c r="F69" s="42">
        <v>37.171138888888883</v>
      </c>
      <c r="G69" s="8">
        <v>40</v>
      </c>
      <c r="H69" s="41">
        <v>37130</v>
      </c>
      <c r="I69" s="9"/>
      <c r="J69" s="8"/>
      <c r="K69" s="68">
        <f>2200/(LOG(((U69/1000)^0.5)/(R69/1000000))+5.47)-273</f>
        <v>71.810193814963782</v>
      </c>
      <c r="L69" s="8"/>
      <c r="M69" s="27"/>
      <c r="N69" s="8"/>
      <c r="O69" s="29"/>
      <c r="P69" s="30"/>
      <c r="Q69" s="30">
        <f>Y69/32*96/1000</f>
        <v>88.696030136192419</v>
      </c>
      <c r="R69" s="30">
        <v>952540</v>
      </c>
      <c r="S69" s="30">
        <v>274748.37843882805</v>
      </c>
      <c r="T69" s="30">
        <v>4924000</v>
      </c>
      <c r="U69" s="30">
        <v>60035.76716748</v>
      </c>
      <c r="V69" s="30">
        <v>259.293099302717</v>
      </c>
      <c r="W69" s="30">
        <v>9020.4968944099364</v>
      </c>
      <c r="X69" s="30" t="s">
        <v>94</v>
      </c>
      <c r="Y69" s="30">
        <v>29565.343378730806</v>
      </c>
      <c r="Z69" s="30">
        <v>22011.5</v>
      </c>
      <c r="AA69" s="30">
        <v>8954.820004832085</v>
      </c>
      <c r="AB69" s="9">
        <v>20.16</v>
      </c>
      <c r="AC69" s="30" t="s">
        <v>73</v>
      </c>
      <c r="AD69" s="30">
        <v>13.11</v>
      </c>
      <c r="AE69" s="30">
        <v>288.37209302325579</v>
      </c>
      <c r="AF69" s="9">
        <v>11.734274688347773</v>
      </c>
      <c r="AG69" s="9">
        <v>53.289366656609644</v>
      </c>
      <c r="AH69" s="30">
        <v>26.392744149578604</v>
      </c>
      <c r="AI69" s="9">
        <v>14.030721496666388</v>
      </c>
      <c r="AJ69" s="30" t="s">
        <v>71</v>
      </c>
      <c r="AK69" s="30" t="s">
        <v>151</v>
      </c>
      <c r="AL69" s="30">
        <v>42461.166417865505</v>
      </c>
      <c r="AM69" s="30">
        <v>695.8</v>
      </c>
      <c r="AN69" s="30">
        <v>349.2</v>
      </c>
      <c r="AO69" s="9" t="s">
        <v>98</v>
      </c>
      <c r="AP69" s="30">
        <v>41303.701263343813</v>
      </c>
      <c r="AQ69" s="9" t="s">
        <v>76</v>
      </c>
      <c r="AR69" s="30">
        <v>32988.393750000003</v>
      </c>
      <c r="AS69" s="9" t="s">
        <v>74</v>
      </c>
      <c r="AT69" s="9" t="s">
        <v>98</v>
      </c>
      <c r="AU69" s="9" t="s">
        <v>99</v>
      </c>
      <c r="AV69" s="9">
        <v>4.4164076400041754</v>
      </c>
      <c r="AW69" s="30">
        <v>8005.8466666666664</v>
      </c>
      <c r="AX69" s="30"/>
      <c r="AY69" s="10" t="s">
        <v>76</v>
      </c>
      <c r="AZ69" s="10" t="s">
        <v>79</v>
      </c>
      <c r="BA69" s="10" t="s">
        <v>77</v>
      </c>
      <c r="BB69" s="10" t="s">
        <v>100</v>
      </c>
      <c r="BC69" s="10" t="s">
        <v>101</v>
      </c>
      <c r="BD69" s="10" t="s">
        <v>102</v>
      </c>
      <c r="BE69" s="10" t="s">
        <v>103</v>
      </c>
      <c r="BF69" s="10" t="s">
        <v>80</v>
      </c>
      <c r="BG69" s="10" t="s">
        <v>104</v>
      </c>
      <c r="BH69" s="10" t="s">
        <v>80</v>
      </c>
      <c r="BI69" s="10" t="s">
        <v>79</v>
      </c>
      <c r="BJ69" s="10" t="s">
        <v>80</v>
      </c>
      <c r="BK69" s="10" t="s">
        <v>104</v>
      </c>
      <c r="BL69" s="10" t="s">
        <v>77</v>
      </c>
      <c r="BM69" s="10">
        <v>0.27274658369934879</v>
      </c>
      <c r="BN69" s="10" t="s">
        <v>69</v>
      </c>
      <c r="BO69" s="31" t="s">
        <v>76</v>
      </c>
      <c r="BP69" s="31" t="s">
        <v>69</v>
      </c>
      <c r="BQ69" s="10" t="s">
        <v>79</v>
      </c>
      <c r="BR69" s="9">
        <v>5.5459008063281043</v>
      </c>
      <c r="BS69" s="9">
        <v>1.3824230211143376</v>
      </c>
      <c r="BT69" s="10" t="s">
        <v>126</v>
      </c>
      <c r="BU69" s="30">
        <v>2021.1500000000005</v>
      </c>
      <c r="BV69" s="30"/>
      <c r="BW69" s="9"/>
      <c r="BX69" s="9"/>
      <c r="BY69" s="9"/>
      <c r="BZ69" s="9">
        <f>T69/23/(T69/23+U69/24.31*2+AA69/40.08*2)*100</f>
        <v>97.545925716356095</v>
      </c>
      <c r="CA69" s="9">
        <f>AA69/40.08*2/(T69/23+U69/24.31*2+AA69/40.08*2)*100</f>
        <v>0.20360013888629999</v>
      </c>
      <c r="CB69" s="9">
        <f>U69/24.31*2/(T69/23+U69/24.31*2+AA69/40.08*2)*100</f>
        <v>2.2504741447576082</v>
      </c>
      <c r="CC69" s="9"/>
      <c r="CD69" s="8"/>
      <c r="CE69" s="9"/>
      <c r="CF69" s="30"/>
      <c r="CG69" s="30"/>
      <c r="CH69" s="8">
        <v>91.72</v>
      </c>
      <c r="CI69" s="8">
        <v>7.32</v>
      </c>
      <c r="CJ69" s="8"/>
      <c r="CK69" s="31"/>
      <c r="CL69" s="31"/>
      <c r="CM69" s="31"/>
      <c r="CN69" s="8">
        <v>1E-3</v>
      </c>
      <c r="CO69" s="8">
        <v>0.96</v>
      </c>
      <c r="CP69" s="10">
        <f>SUM(CH69:CO69)</f>
        <v>100.00099999999999</v>
      </c>
      <c r="CQ69" s="8"/>
      <c r="CR69" s="9"/>
      <c r="CS69" s="9"/>
      <c r="CT69" s="9"/>
      <c r="CU69" s="9"/>
      <c r="CV69" s="9"/>
    </row>
    <row r="70" spans="1:100" x14ac:dyDescent="0.4">
      <c r="A70" s="26">
        <v>16</v>
      </c>
      <c r="B70" s="40" t="s">
        <v>199</v>
      </c>
      <c r="C70" s="69" t="s">
        <v>198</v>
      </c>
      <c r="D70" s="133" t="s">
        <v>420</v>
      </c>
      <c r="E70" s="76">
        <v>45.324611111111118</v>
      </c>
      <c r="F70" s="42">
        <v>37.171138888888883</v>
      </c>
      <c r="G70" s="8">
        <v>35</v>
      </c>
      <c r="H70" s="41">
        <v>40001</v>
      </c>
      <c r="I70" s="9">
        <f>(O70+P70+Z70/1000+AA70/1000+T70/1000+U70/1000+Y70/1000/32*96)/1000</f>
        <v>9.0171285859791936</v>
      </c>
      <c r="J70" s="27">
        <v>25.5</v>
      </c>
      <c r="K70" s="68">
        <f>2200/(LOG(((U70/1000)^0.5)/(R70/1000000))+5.47)-273</f>
        <v>56.408916439411712</v>
      </c>
      <c r="L70" s="8">
        <v>40</v>
      </c>
      <c r="M70" s="27">
        <v>8.84</v>
      </c>
      <c r="N70" s="9">
        <v>1</v>
      </c>
      <c r="O70" s="29">
        <v>1830</v>
      </c>
      <c r="P70" s="30">
        <v>3050</v>
      </c>
      <c r="Q70" s="30">
        <f>Y70/32*96/1000</f>
        <v>1200.5656539977119</v>
      </c>
      <c r="R70" s="30">
        <v>203946.77799945846</v>
      </c>
      <c r="S70" s="30">
        <v>152930.20601754825</v>
      </c>
      <c r="T70" s="30">
        <v>2903098.3132189997</v>
      </c>
      <c r="U70" s="30">
        <v>10871.564534875033</v>
      </c>
      <c r="V70" s="30">
        <v>101.82407762702886</v>
      </c>
      <c r="W70" s="30">
        <v>2982.7488020800374</v>
      </c>
      <c r="X70" s="30"/>
      <c r="Y70" s="30">
        <v>400188.55133257061</v>
      </c>
      <c r="Z70" s="30">
        <v>12848.772506314614</v>
      </c>
      <c r="AA70" s="30">
        <v>9744.2817212919344</v>
      </c>
      <c r="AB70" s="9">
        <v>5.2499690070675911</v>
      </c>
      <c r="AC70" s="9"/>
      <c r="AD70" s="9">
        <v>31.560480000000002</v>
      </c>
      <c r="AE70" s="30">
        <v>417.74331332996564</v>
      </c>
      <c r="AF70" s="9">
        <v>2.4455552918887911</v>
      </c>
      <c r="AG70" s="9">
        <v>42.17919366577776</v>
      </c>
      <c r="AH70" s="9">
        <v>15.580769230769231</v>
      </c>
      <c r="AI70" s="9">
        <v>9.1146153846153837</v>
      </c>
      <c r="AJ70" s="9"/>
      <c r="AK70" s="9">
        <v>11.108146740616247</v>
      </c>
      <c r="AL70" s="30">
        <v>16798.3001</v>
      </c>
      <c r="AM70" s="30">
        <v>108.37764102564103</v>
      </c>
      <c r="AN70" s="9">
        <v>45.113461538461543</v>
      </c>
      <c r="AO70" s="30">
        <v>158.0724468864469</v>
      </c>
      <c r="AP70" s="30">
        <v>1359.2253333333333</v>
      </c>
      <c r="AQ70" s="30"/>
      <c r="AR70" s="30">
        <v>123602.78207843137</v>
      </c>
      <c r="AS70" s="30"/>
      <c r="AT70" s="8"/>
      <c r="AU70" s="30"/>
      <c r="AV70" s="30">
        <v>2849.0212076923076</v>
      </c>
      <c r="AW70" s="30">
        <v>1840.2470476190476</v>
      </c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>
        <v>251.48115384615383</v>
      </c>
      <c r="BP70" s="30">
        <v>110.62649572649573</v>
      </c>
      <c r="BQ70" s="30"/>
      <c r="BR70" s="10">
        <v>0.95129374999999972</v>
      </c>
      <c r="BS70" s="30"/>
      <c r="BT70" s="30"/>
      <c r="BU70" s="30">
        <v>11916.663885714286</v>
      </c>
      <c r="BV70" s="30"/>
      <c r="BW70" s="9">
        <f>O70/61/(O70/61+P70/35.5+Q70/96*2)*100</f>
        <v>21.287575088417299</v>
      </c>
      <c r="BX70" s="9">
        <f>P70/35.5/(O70/61+P70/35.5+Q70/96*2)*100</f>
        <v>60.964416919880527</v>
      </c>
      <c r="BY70" s="9">
        <f>Q70/96*2/(O70/61+P70/35.5+Q70/96*2)*100</f>
        <v>17.748007991702163</v>
      </c>
      <c r="BZ70" s="9">
        <f>T70/23/(T70/23+U70/24.31*2+AA70/40.08*2)*100</f>
        <v>98.918003587239113</v>
      </c>
      <c r="CA70" s="9">
        <f>AA70/40.08*2/(T70/23+U70/24.31*2+AA70/40.08*2)*100</f>
        <v>0.38106016359402439</v>
      </c>
      <c r="CB70" s="9">
        <f>U70/24.31*2/(T70/23+U70/24.31*2+AA70/40.08*2)*100</f>
        <v>0.7009362491668697</v>
      </c>
      <c r="CC70" s="9"/>
      <c r="CD70" s="9">
        <v>5.9</v>
      </c>
      <c r="CE70" s="9">
        <v>-3.4</v>
      </c>
      <c r="CF70" s="30">
        <v>-35</v>
      </c>
      <c r="CG70" s="30"/>
      <c r="CH70" s="10">
        <v>89.388999999999996</v>
      </c>
      <c r="CI70" s="9">
        <v>6.6971999999999996</v>
      </c>
      <c r="CJ70" s="32">
        <v>4.7096000000000004E-3</v>
      </c>
      <c r="CK70" s="32"/>
      <c r="CL70" s="32"/>
      <c r="CM70" s="32"/>
      <c r="CN70" s="31">
        <v>1.9300000000000001E-2</v>
      </c>
      <c r="CO70" s="10">
        <v>1.0463</v>
      </c>
      <c r="CP70" s="10">
        <v>97.156000000000006</v>
      </c>
      <c r="CQ70" s="8"/>
      <c r="CR70" s="118">
        <v>-1.82</v>
      </c>
      <c r="CS70" s="117">
        <v>-44</v>
      </c>
      <c r="CT70" s="117">
        <v>18.399999999999999</v>
      </c>
      <c r="CU70" s="9"/>
      <c r="CV70" s="9"/>
    </row>
    <row r="71" spans="1:100" x14ac:dyDescent="0.4">
      <c r="A71" s="26">
        <v>16</v>
      </c>
      <c r="B71" s="40" t="s">
        <v>200</v>
      </c>
      <c r="C71" s="69" t="s">
        <v>198</v>
      </c>
      <c r="D71" s="133" t="s">
        <v>420</v>
      </c>
      <c r="E71" s="76">
        <v>45.324611111111118</v>
      </c>
      <c r="F71" s="42">
        <v>37.171138888888883</v>
      </c>
      <c r="G71" s="8">
        <v>35</v>
      </c>
      <c r="H71" s="41">
        <v>40001</v>
      </c>
      <c r="I71" s="9"/>
      <c r="J71" s="8"/>
      <c r="K71" s="68"/>
      <c r="L71" s="8"/>
      <c r="M71" s="8"/>
      <c r="N71" s="9"/>
      <c r="O71" s="29"/>
      <c r="P71" s="30"/>
      <c r="Q71" s="30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9"/>
      <c r="BX71" s="9"/>
      <c r="BY71" s="9"/>
      <c r="BZ71" s="9"/>
      <c r="CA71" s="9"/>
      <c r="CB71" s="9"/>
      <c r="CC71" s="9"/>
      <c r="CD71" s="9">
        <v>9.6</v>
      </c>
      <c r="CE71" s="9">
        <v>-2.2000000000000002</v>
      </c>
      <c r="CF71" s="30">
        <v>-27</v>
      </c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9"/>
      <c r="CS71" s="9"/>
      <c r="CT71" s="9"/>
      <c r="CU71" s="9"/>
      <c r="CV71" s="9"/>
    </row>
    <row r="72" spans="1:100" x14ac:dyDescent="0.4">
      <c r="A72" s="26">
        <v>16</v>
      </c>
      <c r="B72" s="40" t="s">
        <v>201</v>
      </c>
      <c r="C72" s="71" t="s">
        <v>198</v>
      </c>
      <c r="D72" s="133" t="s">
        <v>420</v>
      </c>
      <c r="E72" s="76">
        <v>45.324572000000003</v>
      </c>
      <c r="F72" s="42">
        <v>37.171143999999998</v>
      </c>
      <c r="G72" s="30">
        <v>40.755378999999998</v>
      </c>
      <c r="H72" s="41">
        <v>44017</v>
      </c>
      <c r="I72" s="9">
        <f>(O72+P72+Z72/1000+AA72/1000+T72/1000+U72/1000+Y72/1000/32*96)/1000</f>
        <v>32.845783998358584</v>
      </c>
      <c r="J72" s="25"/>
      <c r="K72" s="68">
        <f>2200/(LOG(((U72/1000)^0.5)/(R72/1000000))+5.47)-273</f>
        <v>65.78151081834568</v>
      </c>
      <c r="L72" s="8">
        <v>-8</v>
      </c>
      <c r="M72" s="8">
        <v>7.82</v>
      </c>
      <c r="N72" s="109" t="s">
        <v>66</v>
      </c>
      <c r="O72" s="110">
        <v>8448.5</v>
      </c>
      <c r="P72" s="124">
        <v>10286</v>
      </c>
      <c r="Q72" s="30">
        <f>Y72/32*96/1000</f>
        <v>2338.3751597580567</v>
      </c>
      <c r="R72" s="30">
        <v>938958.1134562887</v>
      </c>
      <c r="S72" s="30">
        <v>524536.83915691765</v>
      </c>
      <c r="T72" s="30">
        <v>11623489.678941118</v>
      </c>
      <c r="U72" s="30">
        <v>98404.327605578146</v>
      </c>
      <c r="V72" s="30">
        <v>161.00571428571428</v>
      </c>
      <c r="W72" s="30">
        <v>4921.5708909565255</v>
      </c>
      <c r="X72" s="9">
        <v>2313.9688381633559</v>
      </c>
      <c r="Y72" s="30">
        <v>779458.38658601884</v>
      </c>
      <c r="Z72" s="30">
        <v>35649.060220019761</v>
      </c>
      <c r="AA72" s="30">
        <v>15365.771833813671</v>
      </c>
      <c r="AB72" s="9">
        <v>26.705613734571941</v>
      </c>
      <c r="AC72" s="9"/>
      <c r="AD72" s="9">
        <v>55.27428571428571</v>
      </c>
      <c r="AE72" s="30"/>
      <c r="AF72" s="9"/>
      <c r="AG72" s="9">
        <v>31.026594059544216</v>
      </c>
      <c r="AH72" s="9"/>
      <c r="AI72" s="9"/>
      <c r="AJ72" s="9"/>
      <c r="AK72" s="9">
        <v>78.047206433517601</v>
      </c>
      <c r="AL72" s="30">
        <v>85174.105238095231</v>
      </c>
      <c r="AM72" s="30">
        <v>926.17142857142858</v>
      </c>
      <c r="AN72" s="30">
        <v>788.40714285714296</v>
      </c>
      <c r="AO72" s="9">
        <v>210.99795918367346</v>
      </c>
      <c r="AP72" s="30">
        <v>140361.75</v>
      </c>
      <c r="AQ72" s="9">
        <v>186.40285714285713</v>
      </c>
      <c r="AR72" s="30">
        <v>50572.084999999992</v>
      </c>
      <c r="AS72" s="9"/>
      <c r="AT72" s="9"/>
      <c r="AU72" s="9"/>
      <c r="AV72" s="30">
        <v>922.75428571428574</v>
      </c>
      <c r="AW72" s="30">
        <v>9443.0544000000009</v>
      </c>
      <c r="AX72" s="30">
        <v>103.36857142857141</v>
      </c>
      <c r="AY72" s="9">
        <v>150.34551020408168</v>
      </c>
      <c r="AZ72" s="30">
        <v>239.59142857142857</v>
      </c>
      <c r="BA72" s="9"/>
      <c r="BB72" s="9">
        <v>73.944000000000017</v>
      </c>
      <c r="BC72" s="9"/>
      <c r="BD72" s="9"/>
      <c r="BE72" s="9">
        <v>45.76</v>
      </c>
      <c r="BF72" s="9"/>
      <c r="BG72" s="9"/>
      <c r="BH72" s="9"/>
      <c r="BI72" s="9"/>
      <c r="BJ72" s="9"/>
      <c r="BK72" s="9">
        <v>51.599999999999994</v>
      </c>
      <c r="BL72" s="9"/>
      <c r="BM72" s="30">
        <v>1497.9028571428571</v>
      </c>
      <c r="BN72" s="9"/>
      <c r="BO72" s="9"/>
      <c r="BP72" s="30">
        <v>321.63428571428574</v>
      </c>
      <c r="BQ72" s="30"/>
      <c r="BR72" s="30"/>
      <c r="BS72" s="30"/>
      <c r="BT72" s="30">
        <v>100.53828571428571</v>
      </c>
      <c r="BU72" s="30">
        <v>16892.318857142855</v>
      </c>
      <c r="BV72" s="30"/>
      <c r="BW72" s="9">
        <f>O72/61/(O72/61+P72/35.5+Q72/96*2)*100</f>
        <v>29.037914473642108</v>
      </c>
      <c r="BX72" s="9">
        <f>P72/35.5/(O72/61+P72/35.5+Q72/96*2)*100</f>
        <v>60.748256119567337</v>
      </c>
      <c r="BY72" s="9">
        <f>Q72/96*2/(O72/61+P72/35.5+Q72/96*2)*100</f>
        <v>10.213829406790561</v>
      </c>
      <c r="BZ72" s="9">
        <f>T72/23/(T72/23+U72/24.31*2+AA72/40.08*2)*100</f>
        <v>98.276546203462374</v>
      </c>
      <c r="CA72" s="9">
        <f>AA72/40.08*2/(T72/23+U72/24.31*2+AA72/40.08*2)*100</f>
        <v>0.1491069373648849</v>
      </c>
      <c r="CB72" s="9">
        <f>U72/24.31*2/(T72/23+U72/24.31*2+AA72/40.08*2)*100</f>
        <v>1.5743468591727383</v>
      </c>
      <c r="CC72" s="9"/>
      <c r="CD72" s="111">
        <v>35.200000000000003</v>
      </c>
      <c r="CE72" s="112">
        <v>2.2000000000000002</v>
      </c>
      <c r="CF72" s="113">
        <v>-9</v>
      </c>
      <c r="CG72" s="30"/>
      <c r="CH72" s="8">
        <v>90.57</v>
      </c>
      <c r="CI72" s="10">
        <v>8.18</v>
      </c>
      <c r="CJ72" s="32">
        <v>4.2919999999999998E-3</v>
      </c>
      <c r="CK72" s="8"/>
      <c r="CL72" s="8">
        <v>6.0999999999999999E-2</v>
      </c>
      <c r="CM72" s="32">
        <v>6.3499999999999997E-3</v>
      </c>
      <c r="CN72" s="8"/>
      <c r="CO72" s="8">
        <v>0.68230000000000002</v>
      </c>
      <c r="CP72" s="10">
        <f>SUM(CH72:CO72)</f>
        <v>99.503942000000009</v>
      </c>
      <c r="CQ72" s="30"/>
      <c r="CR72" s="9"/>
      <c r="CS72" s="63">
        <v>-39.700000000000003</v>
      </c>
      <c r="CT72" s="63">
        <v>-4.3</v>
      </c>
      <c r="CU72" s="9"/>
      <c r="CV72" s="9"/>
    </row>
    <row r="73" spans="1:100" x14ac:dyDescent="0.4">
      <c r="A73" s="26">
        <v>17</v>
      </c>
      <c r="B73" s="40" t="s">
        <v>202</v>
      </c>
      <c r="C73" s="72" t="s">
        <v>203</v>
      </c>
      <c r="D73" s="125" t="s">
        <v>422</v>
      </c>
      <c r="E73" s="76">
        <v>45.357166666666672</v>
      </c>
      <c r="F73" s="42">
        <v>37.09919444444445</v>
      </c>
      <c r="G73" s="8">
        <v>12</v>
      </c>
      <c r="H73" s="41">
        <v>37130</v>
      </c>
      <c r="I73" s="9">
        <f>(O73+P73+Z73/1000+AA73/1000+T73/1000+U73/1000+Y73/1000/32*96)/1000</f>
        <v>8.4484502510696284</v>
      </c>
      <c r="J73" s="8"/>
      <c r="K73" s="68">
        <f>2200/(LOG(((U73/1000)^0.5)/(R73/1000000))+5.47)-273</f>
        <v>62.869606933255852</v>
      </c>
      <c r="L73" s="8"/>
      <c r="M73" s="27">
        <v>8.8000000000000007</v>
      </c>
      <c r="N73" s="8">
        <v>1.3</v>
      </c>
      <c r="O73" s="29">
        <v>2684</v>
      </c>
      <c r="P73" s="30">
        <v>3905</v>
      </c>
      <c r="Q73" s="30">
        <f>Y73/32*96/1000</f>
        <v>114.17560127499277</v>
      </c>
      <c r="R73" s="30">
        <v>153042.02450115007</v>
      </c>
      <c r="S73" s="30">
        <v>26660.702303735186</v>
      </c>
      <c r="T73" s="30">
        <v>1727000</v>
      </c>
      <c r="U73" s="30">
        <v>3388</v>
      </c>
      <c r="V73" s="30">
        <v>282.08704015388315</v>
      </c>
      <c r="W73" s="30">
        <v>1673.2919254658382</v>
      </c>
      <c r="X73" s="30">
        <v>466.26650660264102</v>
      </c>
      <c r="Y73" s="30">
        <v>38058.533758330923</v>
      </c>
      <c r="Z73" s="30">
        <v>11466.5</v>
      </c>
      <c r="AA73" s="30">
        <v>3420.1497946363856</v>
      </c>
      <c r="AB73" s="9">
        <v>3.2691891891891895</v>
      </c>
      <c r="AC73" s="9">
        <v>2.5452385149049008</v>
      </c>
      <c r="AD73" s="30">
        <v>7.125</v>
      </c>
      <c r="AE73" s="30">
        <v>242.59005927952575</v>
      </c>
      <c r="AF73" s="10">
        <v>0.67882781446778107</v>
      </c>
      <c r="AG73" s="9">
        <v>14.817592929778375</v>
      </c>
      <c r="AH73" s="9">
        <v>5.4401529280933287</v>
      </c>
      <c r="AI73" s="9">
        <v>20.479442036880911</v>
      </c>
      <c r="AJ73" s="9" t="s">
        <v>97</v>
      </c>
      <c r="AK73" s="9">
        <v>56.705568556165687</v>
      </c>
      <c r="AL73" s="30">
        <v>29739.107421881185</v>
      </c>
      <c r="AM73" s="30">
        <v>199.5</v>
      </c>
      <c r="AN73" s="30">
        <v>138.5</v>
      </c>
      <c r="AO73" s="9" t="s">
        <v>74</v>
      </c>
      <c r="AP73" s="30">
        <v>15730.712386809244</v>
      </c>
      <c r="AQ73" s="9" t="s">
        <v>74</v>
      </c>
      <c r="AR73" s="30">
        <v>16602.996875000001</v>
      </c>
      <c r="AS73" s="9" t="s">
        <v>74</v>
      </c>
      <c r="AT73" s="9" t="s">
        <v>69</v>
      </c>
      <c r="AU73" s="9" t="s">
        <v>74</v>
      </c>
      <c r="AV73" s="9">
        <v>1.47140257595784</v>
      </c>
      <c r="AW73" s="30">
        <v>3012.5633333333335</v>
      </c>
      <c r="AX73" s="30">
        <v>765.80202639985816</v>
      </c>
      <c r="AY73" s="10">
        <v>0.51827138315012045</v>
      </c>
      <c r="AZ73" s="10">
        <v>0.68389090641515637</v>
      </c>
      <c r="BA73" s="31">
        <v>3.1465124611147914E-2</v>
      </c>
      <c r="BB73" s="10" t="s">
        <v>79</v>
      </c>
      <c r="BC73" s="10" t="s">
        <v>79</v>
      </c>
      <c r="BD73" s="31" t="s">
        <v>80</v>
      </c>
      <c r="BE73" s="10" t="s">
        <v>81</v>
      </c>
      <c r="BF73" s="10" t="s">
        <v>82</v>
      </c>
      <c r="BG73" s="10" t="s">
        <v>81</v>
      </c>
      <c r="BH73" s="10" t="s">
        <v>82</v>
      </c>
      <c r="BI73" s="31" t="s">
        <v>81</v>
      </c>
      <c r="BJ73" s="10" t="s">
        <v>82</v>
      </c>
      <c r="BK73" s="31" t="s">
        <v>77</v>
      </c>
      <c r="BL73" s="10" t="s">
        <v>78</v>
      </c>
      <c r="BM73" s="31" t="s">
        <v>81</v>
      </c>
      <c r="BN73" s="9" t="s">
        <v>81</v>
      </c>
      <c r="BO73" s="10">
        <v>0.55226395288347274</v>
      </c>
      <c r="BP73" s="31" t="s">
        <v>77</v>
      </c>
      <c r="BQ73" s="10" t="s">
        <v>80</v>
      </c>
      <c r="BR73" s="9">
        <v>1.0531521164887439</v>
      </c>
      <c r="BS73" s="10" t="s">
        <v>78</v>
      </c>
      <c r="BT73" s="10" t="s">
        <v>84</v>
      </c>
      <c r="BU73" s="30">
        <v>4366.2250000000004</v>
      </c>
      <c r="BV73" s="30"/>
      <c r="BW73" s="9">
        <f>O73/61/(O73/61+P73/35.5+Q73/96*2)*100</f>
        <v>28.136831752793757</v>
      </c>
      <c r="BX73" s="9">
        <f>P73/35.5/(O73/61+P73/35.5+Q73/96*2)*100</f>
        <v>70.342079381984391</v>
      </c>
      <c r="BY73" s="9">
        <f>Q73/96*2/(O73/61+P73/35.5+Q73/96*2)*100</f>
        <v>1.5210888652218446</v>
      </c>
      <c r="BZ73" s="9">
        <f>T73/23/(T73/23+U73/24.31*2+AA73/40.08*2)*100</f>
        <v>99.405055771009671</v>
      </c>
      <c r="CA73" s="9">
        <f>AA73/40.08*2/(T73/23+U73/24.31*2+AA73/40.08*2)*100</f>
        <v>0.22593909358075556</v>
      </c>
      <c r="CB73" s="9">
        <f>U73/24.31*2/(T73/23+U73/24.31*2+AA73/40.08*2)*100</f>
        <v>0.36900513540957569</v>
      </c>
      <c r="CC73" s="9"/>
      <c r="CD73" s="8"/>
      <c r="CE73" s="9">
        <v>-1.6428651508531176</v>
      </c>
      <c r="CF73" s="30">
        <v>-34.496890021843171</v>
      </c>
      <c r="CG73" s="30"/>
      <c r="CH73" s="8">
        <v>97.08</v>
      </c>
      <c r="CI73" s="8">
        <v>2.34</v>
      </c>
      <c r="CJ73" s="8"/>
      <c r="CK73" s="31"/>
      <c r="CL73" s="31"/>
      <c r="CM73" s="31"/>
      <c r="CN73" s="8">
        <v>1E-3</v>
      </c>
      <c r="CO73" s="8">
        <v>0.56999999999999995</v>
      </c>
      <c r="CP73" s="10">
        <f>SUM(CH73:CO73)</f>
        <v>99.991</v>
      </c>
      <c r="CQ73" s="8"/>
      <c r="CR73" s="9"/>
      <c r="CS73" s="9">
        <v>-54.3</v>
      </c>
      <c r="CT73" s="9">
        <v>-7.1</v>
      </c>
      <c r="CU73" s="9"/>
      <c r="CV73" s="9"/>
    </row>
    <row r="74" spans="1:100" s="90" customFormat="1" x14ac:dyDescent="0.4">
      <c r="A74" s="79">
        <v>18</v>
      </c>
      <c r="B74" s="91" t="s">
        <v>204</v>
      </c>
      <c r="C74" s="92" t="s">
        <v>205</v>
      </c>
      <c r="D74" s="134" t="s">
        <v>423</v>
      </c>
      <c r="E74" s="82">
        <v>45.309416666666664</v>
      </c>
      <c r="F74" s="83">
        <v>37.039277777777777</v>
      </c>
      <c r="G74" s="84">
        <v>105</v>
      </c>
      <c r="H74" s="85">
        <v>37128</v>
      </c>
      <c r="I74" s="86"/>
      <c r="J74" s="84"/>
      <c r="K74" s="87">
        <f>2200/(LOG(((U74/1000)^0.5)/(R74/1000000))+5.47)-273</f>
        <v>58.372600833682043</v>
      </c>
      <c r="L74" s="84"/>
      <c r="M74" s="102"/>
      <c r="N74" s="84"/>
      <c r="O74" s="88"/>
      <c r="P74" s="89"/>
      <c r="Q74" s="89">
        <f>Y74/32*96/1000</f>
        <v>3.8701825557809335</v>
      </c>
      <c r="R74" s="89">
        <v>343089</v>
      </c>
      <c r="S74" s="89">
        <v>83802.281368821306</v>
      </c>
      <c r="T74" s="89">
        <v>4196000</v>
      </c>
      <c r="U74" s="89">
        <v>25640</v>
      </c>
      <c r="V74" s="89">
        <v>699.20654003366189</v>
      </c>
      <c r="W74" s="89">
        <v>2124.2236024844719</v>
      </c>
      <c r="X74" s="89">
        <v>7111.0444177671061</v>
      </c>
      <c r="Y74" s="89">
        <v>1290.0608519269779</v>
      </c>
      <c r="Z74" s="89">
        <v>9908.5</v>
      </c>
      <c r="AA74" s="89">
        <v>13220.584682290408</v>
      </c>
      <c r="AB74" s="86">
        <v>6.72</v>
      </c>
      <c r="AC74" s="86">
        <v>2.6991972988448549</v>
      </c>
      <c r="AD74" s="89">
        <v>55.954999999999998</v>
      </c>
      <c r="AE74" s="89">
        <v>732.33014135886913</v>
      </c>
      <c r="AF74" s="86">
        <v>2.2022365443963161</v>
      </c>
      <c r="AG74" s="86">
        <v>10.227252440785708</v>
      </c>
      <c r="AH74" s="86">
        <v>8.3404734711686164</v>
      </c>
      <c r="AI74" s="86">
        <v>7.9169891815763043</v>
      </c>
      <c r="AJ74" s="86" t="s">
        <v>97</v>
      </c>
      <c r="AK74" s="86">
        <v>11.284270990483089</v>
      </c>
      <c r="AL74" s="89">
        <v>54963.386611645161</v>
      </c>
      <c r="AM74" s="89">
        <v>918.2</v>
      </c>
      <c r="AN74" s="89">
        <v>379.5</v>
      </c>
      <c r="AO74" s="86">
        <v>0.45888149415231005</v>
      </c>
      <c r="AP74" s="89">
        <v>15511.42317213231</v>
      </c>
      <c r="AQ74" s="86" t="s">
        <v>74</v>
      </c>
      <c r="AR74" s="89">
        <v>31351.346874999999</v>
      </c>
      <c r="AS74" s="86" t="s">
        <v>69</v>
      </c>
      <c r="AT74" s="86" t="s">
        <v>69</v>
      </c>
      <c r="AU74" s="86" t="s">
        <v>74</v>
      </c>
      <c r="AV74" s="93">
        <v>0.27557609350433065</v>
      </c>
      <c r="AW74" s="89">
        <v>4101.1733333333332</v>
      </c>
      <c r="AX74" s="89"/>
      <c r="AY74" s="93">
        <v>0.35288079045297061</v>
      </c>
      <c r="AZ74" s="93">
        <v>0.14933060931217021</v>
      </c>
      <c r="BA74" s="135">
        <v>5.7641992985128107E-2</v>
      </c>
      <c r="BB74" s="93">
        <v>0.16854077712147886</v>
      </c>
      <c r="BC74" s="93" t="s">
        <v>79</v>
      </c>
      <c r="BD74" s="135">
        <v>5.3261099507222361E-2</v>
      </c>
      <c r="BE74" s="93" t="s">
        <v>81</v>
      </c>
      <c r="BF74" s="93" t="s">
        <v>82</v>
      </c>
      <c r="BG74" s="135">
        <v>7.6813911063952689E-2</v>
      </c>
      <c r="BH74" s="135">
        <v>1.7104591954445459E-2</v>
      </c>
      <c r="BI74" s="135">
        <v>8.1773902862327622E-2</v>
      </c>
      <c r="BJ74" s="135" t="s">
        <v>82</v>
      </c>
      <c r="BK74" s="135" t="s">
        <v>77</v>
      </c>
      <c r="BL74" s="135">
        <v>2.2787333698362663E-2</v>
      </c>
      <c r="BM74" s="135" t="s">
        <v>81</v>
      </c>
      <c r="BN74" s="86" t="s">
        <v>81</v>
      </c>
      <c r="BO74" s="93">
        <v>0.44451197913860718</v>
      </c>
      <c r="BP74" s="135" t="s">
        <v>77</v>
      </c>
      <c r="BQ74" s="93" t="s">
        <v>80</v>
      </c>
      <c r="BR74" s="93">
        <v>0.70463566598660066</v>
      </c>
      <c r="BS74" s="93" t="s">
        <v>78</v>
      </c>
      <c r="BT74" s="135">
        <v>8.332802004573639E-2</v>
      </c>
      <c r="BU74" s="89">
        <v>473.72500000000008</v>
      </c>
      <c r="BV74" s="89"/>
      <c r="BW74" s="86"/>
      <c r="BX74" s="86"/>
      <c r="BY74" s="86"/>
      <c r="BZ74" s="86">
        <f>T74/23/(T74/23+U74/24.31*2+AA74/40.08*2)*100</f>
        <v>98.504821107637198</v>
      </c>
      <c r="CA74" s="86">
        <f>AA74/40.08*2/(T74/23+U74/24.31*2+AA74/40.08*2)*100</f>
        <v>0.35620727763431503</v>
      </c>
      <c r="CB74" s="86">
        <f>U74/24.31*2/(T74/23+U74/24.31*2+AA74/40.08*2)*100</f>
        <v>1.1389716147284854</v>
      </c>
      <c r="CC74" s="86"/>
      <c r="CD74" s="84"/>
      <c r="CE74" s="86"/>
      <c r="CF74" s="89"/>
      <c r="CG74" s="89"/>
      <c r="CH74" s="84">
        <v>95.44</v>
      </c>
      <c r="CI74" s="84">
        <v>1.59</v>
      </c>
      <c r="CJ74" s="84"/>
      <c r="CK74" s="84"/>
      <c r="CL74" s="84"/>
      <c r="CM74" s="84"/>
      <c r="CN74" s="84">
        <v>0.15</v>
      </c>
      <c r="CO74" s="84">
        <v>2.82</v>
      </c>
      <c r="CP74" s="93">
        <f>SUM(CH74:CO74)</f>
        <v>100</v>
      </c>
      <c r="CQ74" s="84"/>
      <c r="CR74" s="86"/>
      <c r="CS74" s="86"/>
      <c r="CT74" s="86"/>
      <c r="CU74" s="86"/>
      <c r="CV74" s="86"/>
    </row>
    <row r="75" spans="1:100" x14ac:dyDescent="0.4">
      <c r="A75" s="26">
        <v>18</v>
      </c>
      <c r="B75" s="40" t="s">
        <v>206</v>
      </c>
      <c r="C75" s="69" t="s">
        <v>205</v>
      </c>
      <c r="D75" s="122" t="s">
        <v>423</v>
      </c>
      <c r="E75" s="115">
        <v>45.309420000000003</v>
      </c>
      <c r="F75" s="116">
        <v>37.039279999999998</v>
      </c>
      <c r="G75" s="8">
        <v>98</v>
      </c>
      <c r="H75" s="41">
        <v>40005</v>
      </c>
      <c r="I75" s="9">
        <f>(O75+P75+Z75/1000+AA75/1000+T75/1000+U75/1000+Y75/1000/32*96)/1000</f>
        <v>11.772428463062271</v>
      </c>
      <c r="J75" s="8">
        <v>25</v>
      </c>
      <c r="K75" s="68">
        <f>2200/(LOG(((U75/1000)^0.5)/(R75/1000000))+5.47)-273</f>
        <v>81.828625961083901</v>
      </c>
      <c r="L75" s="8"/>
      <c r="M75" s="8"/>
      <c r="N75" s="9">
        <v>2.9</v>
      </c>
      <c r="O75" s="29">
        <v>3294</v>
      </c>
      <c r="P75" s="30">
        <v>4468</v>
      </c>
      <c r="Q75" s="30">
        <f>Y75/32*96/1000</f>
        <v>11.767509851277488</v>
      </c>
      <c r="R75" s="30">
        <v>1084624.0145210079</v>
      </c>
      <c r="S75" s="30">
        <v>36846.552518094941</v>
      </c>
      <c r="T75" s="30">
        <v>3903027.736608088</v>
      </c>
      <c r="U75" s="30">
        <v>33955.554095762738</v>
      </c>
      <c r="V75" s="9"/>
      <c r="W75" s="30">
        <v>6357.956633590592</v>
      </c>
      <c r="X75" s="30"/>
      <c r="Y75" s="30">
        <v>3922.5032837591625</v>
      </c>
      <c r="Z75" s="30">
        <v>30763.701739936194</v>
      </c>
      <c r="AA75" s="30">
        <v>30913.960767205572</v>
      </c>
      <c r="AB75" s="9"/>
      <c r="AC75" s="9"/>
      <c r="AD75" s="9">
        <v>6.77508</v>
      </c>
      <c r="AE75" s="30">
        <v>287.93895994130605</v>
      </c>
      <c r="AF75" s="9"/>
      <c r="AG75" s="9"/>
      <c r="AH75" s="9"/>
      <c r="AI75" s="9"/>
      <c r="AJ75" s="9"/>
      <c r="AK75" s="9">
        <v>10.543196152380951</v>
      </c>
      <c r="AL75" s="30">
        <v>42912.340100000001</v>
      </c>
      <c r="AM75" s="30">
        <v>2475.7088478550195</v>
      </c>
      <c r="AN75" s="30">
        <v>1188.5980815602918</v>
      </c>
      <c r="AO75" s="30"/>
      <c r="AP75" s="30">
        <v>4164.8253333333332</v>
      </c>
      <c r="AQ75" s="30"/>
      <c r="AR75" s="30">
        <v>4589.2620784313731</v>
      </c>
      <c r="AS75" s="30"/>
      <c r="AT75" s="8"/>
      <c r="AU75" s="30"/>
      <c r="AV75" s="30">
        <v>545.00920769230777</v>
      </c>
      <c r="AW75" s="30">
        <v>6708.0270476190481</v>
      </c>
      <c r="AX75" s="30">
        <v>106.12947368421054</v>
      </c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9">
        <v>67.61115384615384</v>
      </c>
      <c r="BP75" s="9"/>
      <c r="BQ75" s="30"/>
      <c r="BR75" s="30"/>
      <c r="BS75" s="30"/>
      <c r="BT75" s="30"/>
      <c r="BU75" s="30">
        <v>289.47988571428573</v>
      </c>
      <c r="BV75" s="30"/>
      <c r="BW75" s="9">
        <f>O75/61/(O75/61+P75/35.5+Q75/96*2)*100</f>
        <v>29.982624838237847</v>
      </c>
      <c r="BX75" s="9">
        <f>P75/35.5/(O75/61+P75/35.5+Q75/96*2)*100</f>
        <v>69.881256013169903</v>
      </c>
      <c r="BY75" s="9">
        <f>Q75/96*2/(O75/61+P75/35.5+Q75/96*2)*100</f>
        <v>0.13611914859225346</v>
      </c>
      <c r="BZ75" s="9">
        <f>T75/23/(T75/23+U75/24.31*2+AA75/40.08*2)*100</f>
        <v>97.50842737365123</v>
      </c>
      <c r="CA75" s="9">
        <f>AA75/40.08*2/(T75/23+U75/24.31*2+AA75/40.08*2)*100</f>
        <v>0.8863908919026865</v>
      </c>
      <c r="CB75" s="9">
        <f>U75/24.31*2/(T75/23+U75/24.31*2+AA75/40.08*2)*100</f>
        <v>1.6051817344460744</v>
      </c>
      <c r="CC75" s="9"/>
      <c r="CD75" s="9">
        <v>-1.1000000000000001</v>
      </c>
      <c r="CE75" s="9">
        <v>2.9</v>
      </c>
      <c r="CF75" s="30">
        <v>-35</v>
      </c>
      <c r="CG75" s="30"/>
      <c r="CH75" s="10">
        <v>94.658000000000001</v>
      </c>
      <c r="CI75" s="9">
        <v>1.7726999999999999</v>
      </c>
      <c r="CJ75" s="32">
        <v>4.5798000000000002E-3</v>
      </c>
      <c r="CK75" s="32">
        <v>1.709E-3</v>
      </c>
      <c r="CL75" s="32"/>
      <c r="CM75" s="32"/>
      <c r="CN75" s="31">
        <v>2.9836000000000001E-2</v>
      </c>
      <c r="CO75" s="10">
        <v>0.94789000000000001</v>
      </c>
      <c r="CP75" s="10">
        <v>97.415000000000006</v>
      </c>
      <c r="CQ75" s="8"/>
      <c r="CR75" s="118">
        <v>-2.91</v>
      </c>
      <c r="CS75" s="126">
        <v>-59.5</v>
      </c>
      <c r="CT75" s="126">
        <v>-9</v>
      </c>
      <c r="CU75" s="9"/>
      <c r="CV75" s="119">
        <v>-276.89999999999998</v>
      </c>
    </row>
    <row r="76" spans="1:100" x14ac:dyDescent="0.4">
      <c r="A76" s="26">
        <v>18</v>
      </c>
      <c r="B76" s="40" t="s">
        <v>207</v>
      </c>
      <c r="C76" s="69" t="s">
        <v>205</v>
      </c>
      <c r="D76" s="122" t="s">
        <v>423</v>
      </c>
      <c r="E76" s="115">
        <v>45.309420000000003</v>
      </c>
      <c r="F76" s="116">
        <v>37.039279999999998</v>
      </c>
      <c r="G76" s="8">
        <v>98</v>
      </c>
      <c r="H76" s="41">
        <v>40005</v>
      </c>
      <c r="I76" s="9">
        <f>(O76+P76+Z76/1000+AA76/1000+T76/1000+U76/1000+Y76/1000/32*96)/1000</f>
        <v>12.166875115378557</v>
      </c>
      <c r="J76" s="8">
        <v>23</v>
      </c>
      <c r="K76" s="68">
        <f>2200/(LOG(((U76/1000)^0.5)/(R76/1000000))+5.47)-273</f>
        <v>37.028795428377521</v>
      </c>
      <c r="L76" s="8">
        <v>-220</v>
      </c>
      <c r="M76" s="8">
        <v>8.5</v>
      </c>
      <c r="N76" s="9">
        <v>2.6</v>
      </c>
      <c r="O76" s="29">
        <v>3782</v>
      </c>
      <c r="P76" s="30">
        <v>3546</v>
      </c>
      <c r="Q76" s="30">
        <f>Y76/32*96/1000</f>
        <v>16.22282954112114</v>
      </c>
      <c r="R76" s="30">
        <v>203181.05509446948</v>
      </c>
      <c r="S76" s="30">
        <v>99077.639228115993</v>
      </c>
      <c r="T76" s="30">
        <v>4707318.7945514861</v>
      </c>
      <c r="U76" s="30">
        <v>73789.830866364879</v>
      </c>
      <c r="V76" s="9"/>
      <c r="W76" s="30">
        <v>5055.7108222296292</v>
      </c>
      <c r="X76" s="30">
        <v>2395.1968862809335</v>
      </c>
      <c r="Y76" s="30">
        <v>5407.6098470403795</v>
      </c>
      <c r="Z76" s="30">
        <v>11684.835577221711</v>
      </c>
      <c r="AA76" s="30">
        <v>29858.824842363716</v>
      </c>
      <c r="AB76" s="9"/>
      <c r="AC76" s="9"/>
      <c r="AD76" s="9">
        <v>57.598280000000003</v>
      </c>
      <c r="AE76" s="30">
        <v>542.933290897392</v>
      </c>
      <c r="AF76" s="9"/>
      <c r="AG76" s="9"/>
      <c r="AH76" s="9">
        <v>2.3807692307692303</v>
      </c>
      <c r="AI76" s="9"/>
      <c r="AJ76" s="9"/>
      <c r="AK76" s="9">
        <v>11.434215025651875</v>
      </c>
      <c r="AL76" s="30">
        <v>49889.140100000004</v>
      </c>
      <c r="AM76" s="30">
        <v>1411.9664157445713</v>
      </c>
      <c r="AN76" s="30">
        <v>334.50346153846158</v>
      </c>
      <c r="AO76" s="30">
        <v>167.31570493219934</v>
      </c>
      <c r="AP76" s="30">
        <v>10720.208888888887</v>
      </c>
      <c r="AQ76" s="30"/>
      <c r="AR76" s="30">
        <v>43654.582078431376</v>
      </c>
      <c r="AS76" s="30"/>
      <c r="AT76" s="8"/>
      <c r="AU76" s="30"/>
      <c r="AV76" s="30">
        <v>255.24020769230773</v>
      </c>
      <c r="AW76" s="30">
        <v>1819.6470476190475</v>
      </c>
      <c r="AX76" s="30">
        <v>151.40947368421052</v>
      </c>
      <c r="AY76" s="30"/>
      <c r="AZ76" s="30">
        <v>138.3281818181818</v>
      </c>
      <c r="BA76" s="9">
        <v>15.985217391304348</v>
      </c>
      <c r="BB76" s="30">
        <v>116.61352272727272</v>
      </c>
      <c r="BC76" s="9">
        <v>28.759615384615387</v>
      </c>
      <c r="BD76" s="9"/>
      <c r="BE76" s="9">
        <v>42.208076923076931</v>
      </c>
      <c r="BF76" s="9"/>
      <c r="BG76" s="9">
        <v>16.633166666666668</v>
      </c>
      <c r="BH76" s="9">
        <v>8.8968000000000007</v>
      </c>
      <c r="BI76" s="9">
        <v>18.109599999999997</v>
      </c>
      <c r="BJ76" s="9"/>
      <c r="BK76" s="9">
        <v>23.600747826086955</v>
      </c>
      <c r="BL76" s="9"/>
      <c r="BM76" s="30">
        <v>120.74600000000001</v>
      </c>
      <c r="BN76" s="30"/>
      <c r="BO76" s="9">
        <v>85.47115384615384</v>
      </c>
      <c r="BP76" s="9"/>
      <c r="BQ76" s="30"/>
      <c r="BR76" s="30"/>
      <c r="BS76" s="30"/>
      <c r="BT76" s="30"/>
      <c r="BU76" s="30">
        <v>2015.7278857142855</v>
      </c>
      <c r="BV76" s="30"/>
      <c r="BW76" s="9">
        <f>O76/61/(O76/61+P76/35.5+Q76/96*2)*100</f>
        <v>38.218453082536698</v>
      </c>
      <c r="BX76" s="9">
        <f>P76/35.5/(O76/61+P76/35.5+Q76/96*2)*100</f>
        <v>61.573209736790147</v>
      </c>
      <c r="BY76" s="9">
        <f>Q76/96*2/(O76/61+P76/35.5+Q76/96*2)*100</f>
        <v>0.20833718067316148</v>
      </c>
      <c r="BZ76" s="9">
        <f>T76/23/(T76/23+U76/24.31*2+AA76/40.08*2)*100</f>
        <v>96.43744215774737</v>
      </c>
      <c r="CA76" s="9">
        <f>AA76/40.08*2/(T76/23+U76/24.31*2+AA76/40.08*2)*100</f>
        <v>0.70206108641081311</v>
      </c>
      <c r="CB76" s="9">
        <f>U76/24.31*2/(T76/23+U76/24.31*2+AA76/40.08*2)*100</f>
        <v>2.8604967558418326</v>
      </c>
      <c r="CC76" s="9"/>
      <c r="CD76" s="9">
        <v>5.7</v>
      </c>
      <c r="CE76" s="9">
        <v>3.8</v>
      </c>
      <c r="CF76" s="30">
        <v>-28</v>
      </c>
      <c r="CG76" s="30"/>
      <c r="CH76" s="10"/>
      <c r="CI76" s="9"/>
      <c r="CJ76" s="10"/>
      <c r="CK76" s="32"/>
      <c r="CL76" s="32"/>
      <c r="CM76" s="32"/>
      <c r="CN76" s="31"/>
      <c r="CO76" s="10"/>
      <c r="CP76" s="10"/>
      <c r="CQ76" s="8"/>
      <c r="CR76" s="9"/>
      <c r="CS76" s="121"/>
      <c r="CT76" s="121"/>
      <c r="CU76" s="9"/>
      <c r="CV76" s="119"/>
    </row>
    <row r="77" spans="1:100" x14ac:dyDescent="0.4">
      <c r="A77" s="26">
        <v>19</v>
      </c>
      <c r="B77" s="40" t="s">
        <v>208</v>
      </c>
      <c r="C77" s="69" t="s">
        <v>209</v>
      </c>
      <c r="D77" s="122" t="s">
        <v>425</v>
      </c>
      <c r="E77" s="76">
        <v>45.309416666666664</v>
      </c>
      <c r="F77" s="42">
        <v>37.039277777777777</v>
      </c>
      <c r="G77" s="8">
        <v>90</v>
      </c>
      <c r="H77" s="41">
        <v>40005</v>
      </c>
      <c r="I77" s="9"/>
      <c r="J77" s="8">
        <v>23.3</v>
      </c>
      <c r="K77" s="68"/>
      <c r="L77" s="8">
        <v>-80</v>
      </c>
      <c r="M77" s="8">
        <v>8.1</v>
      </c>
      <c r="N77" s="9">
        <v>0.8</v>
      </c>
      <c r="O77" s="29">
        <v>4636</v>
      </c>
      <c r="P77" s="30">
        <v>2695</v>
      </c>
      <c r="Q77" s="30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9">
        <f>O77/61/(O77/61+P77/35.5+Q77/96*2)*100</f>
        <v>50.027813832746148</v>
      </c>
      <c r="BX77" s="9">
        <f>P77/35.5/(O77/61+P77/35.5+Q77/96*2)*100</f>
        <v>49.972186167253845</v>
      </c>
      <c r="BY77" s="9">
        <f>Q77/96*2/(O77/61+P77/35.5+Q77/96*2)*100</f>
        <v>0</v>
      </c>
      <c r="BZ77" s="9"/>
      <c r="CA77" s="9"/>
      <c r="CB77" s="9"/>
      <c r="CC77" s="9"/>
      <c r="CD77" s="9">
        <v>23.5</v>
      </c>
      <c r="CE77" s="9">
        <v>7.8</v>
      </c>
      <c r="CF77" s="30">
        <v>-29</v>
      </c>
      <c r="CG77" s="8"/>
      <c r="CH77" s="10">
        <v>91.158000000000001</v>
      </c>
      <c r="CI77" s="9">
        <v>4.1497999999999999</v>
      </c>
      <c r="CJ77" s="32">
        <v>3.6021E-3</v>
      </c>
      <c r="CK77" s="32"/>
      <c r="CL77" s="32"/>
      <c r="CM77" s="32"/>
      <c r="CN77" s="31">
        <v>3.9167E-2</v>
      </c>
      <c r="CO77" s="10">
        <v>1.7754000000000001</v>
      </c>
      <c r="CP77" s="10">
        <v>97.126000000000005</v>
      </c>
      <c r="CQ77" s="8"/>
      <c r="CR77" s="118">
        <v>-2.27</v>
      </c>
      <c r="CS77" s="121">
        <v>-53.5</v>
      </c>
      <c r="CT77" s="121">
        <v>13.5</v>
      </c>
      <c r="CU77" s="9"/>
      <c r="CV77" s="9"/>
    </row>
    <row r="78" spans="1:100" x14ac:dyDescent="0.4">
      <c r="A78" s="26">
        <v>19</v>
      </c>
      <c r="B78" s="44" t="s">
        <v>210</v>
      </c>
      <c r="C78" s="71" t="s">
        <v>211</v>
      </c>
      <c r="D78" s="122" t="s">
        <v>424</v>
      </c>
      <c r="E78" s="76">
        <v>45.308729</v>
      </c>
      <c r="F78" s="42">
        <v>37.030301000000001</v>
      </c>
      <c r="G78" s="8">
        <v>90</v>
      </c>
      <c r="H78" s="41">
        <v>43000</v>
      </c>
      <c r="I78" s="9"/>
      <c r="J78" s="8"/>
      <c r="K78" s="68">
        <f>2200/(LOG(((U78/1000)^0.5)/(R78/1000000))+5.47)-273</f>
        <v>65.846109102862385</v>
      </c>
      <c r="L78" s="8"/>
      <c r="M78" s="8"/>
      <c r="N78" s="8"/>
      <c r="O78" s="29"/>
      <c r="P78" s="30"/>
      <c r="Q78" s="30">
        <f>Y78/32*96/1000</f>
        <v>208.95484724637211</v>
      </c>
      <c r="R78" s="30">
        <v>502506.73178368702</v>
      </c>
      <c r="S78" s="30">
        <v>134897.0123942683</v>
      </c>
      <c r="T78" s="30">
        <v>4324425.9175986042</v>
      </c>
      <c r="U78" s="30">
        <v>28023.961247031599</v>
      </c>
      <c r="V78" s="30">
        <v>20.388410000000007</v>
      </c>
      <c r="W78" s="30">
        <v>9050.7605805692383</v>
      </c>
      <c r="X78" s="30"/>
      <c r="Y78" s="30">
        <v>69651.615748790704</v>
      </c>
      <c r="Z78" s="30">
        <v>28808.816512721547</v>
      </c>
      <c r="AA78" s="30">
        <v>20561.77114356454</v>
      </c>
      <c r="AB78" s="30"/>
      <c r="AC78" s="30"/>
      <c r="AD78" s="9">
        <v>10.78392</v>
      </c>
      <c r="AE78" s="30"/>
      <c r="AF78" s="30"/>
      <c r="AG78" s="9"/>
      <c r="AH78" s="9"/>
      <c r="AI78" s="9">
        <v>15.469999999999999</v>
      </c>
      <c r="AJ78" s="9"/>
      <c r="AK78" s="9">
        <v>10.545697381337433</v>
      </c>
      <c r="AL78" s="30">
        <v>50886.653055555551</v>
      </c>
      <c r="AM78" s="30">
        <v>1540.8084580955244</v>
      </c>
      <c r="AN78" s="30">
        <v>1527.8241150442477</v>
      </c>
      <c r="AO78" s="30"/>
      <c r="AP78" s="30">
        <v>5238.3539999999994</v>
      </c>
      <c r="AQ78" s="30"/>
      <c r="AR78" s="30">
        <v>8091.389916666667</v>
      </c>
      <c r="AS78" s="30"/>
      <c r="AT78" s="30"/>
      <c r="AU78" s="30">
        <v>390.375</v>
      </c>
      <c r="AV78" s="30">
        <v>1218.204</v>
      </c>
      <c r="AW78" s="30">
        <v>5936.8910000000005</v>
      </c>
      <c r="AX78" s="30">
        <v>205.548</v>
      </c>
      <c r="AY78" s="30"/>
      <c r="AZ78" s="9">
        <v>61.689499999999995</v>
      </c>
      <c r="BA78" s="9">
        <v>12.870999999999999</v>
      </c>
      <c r="BB78" s="9">
        <v>46.893599999999999</v>
      </c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30"/>
      <c r="BO78" s="30"/>
      <c r="BP78" s="30"/>
      <c r="BQ78" s="30"/>
      <c r="BR78" s="9"/>
      <c r="BS78" s="30"/>
      <c r="BT78" s="30"/>
      <c r="BU78" s="30">
        <v>930.86953000000005</v>
      </c>
      <c r="BV78" s="30"/>
      <c r="BW78" s="9"/>
      <c r="BX78" s="9"/>
      <c r="BY78" s="9"/>
      <c r="BZ78" s="9">
        <f>T78/23/(T78/23+U78/24.31*2+AA78/40.08*2)*100</f>
        <v>98.258905281988547</v>
      </c>
      <c r="CA78" s="9">
        <f>AA78/40.08*2/(T78/23+U78/24.31*2+AA78/40.08*2)*100</f>
        <v>0.5362090006152489</v>
      </c>
      <c r="CB78" s="9">
        <f>U78/24.31*2/(T78/23+U78/24.31*2+AA78/40.08*2)*100</f>
        <v>1.2048857173962035</v>
      </c>
      <c r="CC78" s="9"/>
      <c r="CD78" s="8">
        <v>14.8</v>
      </c>
      <c r="CE78" s="9">
        <v>6.3</v>
      </c>
      <c r="CF78" s="30">
        <v>-28</v>
      </c>
      <c r="CG78" s="30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9"/>
      <c r="CS78" s="9"/>
      <c r="CT78" s="9"/>
      <c r="CU78" s="9"/>
      <c r="CV78" s="9"/>
    </row>
    <row r="79" spans="1:100" x14ac:dyDescent="0.4">
      <c r="A79" s="26">
        <v>19</v>
      </c>
      <c r="B79" s="40" t="s">
        <v>212</v>
      </c>
      <c r="C79" s="71" t="s">
        <v>209</v>
      </c>
      <c r="D79" s="122" t="s">
        <v>425</v>
      </c>
      <c r="E79" s="76">
        <v>45.309372000000003</v>
      </c>
      <c r="F79" s="42">
        <v>37.032474000000001</v>
      </c>
      <c r="G79" s="30">
        <v>90.588570000000004</v>
      </c>
      <c r="H79" s="41">
        <v>44018</v>
      </c>
      <c r="I79" s="9">
        <f>(O79+P79+Z79/1000+AA79/1000+T79/1000+U79/1000+Y79/1000/32*96)/1000</f>
        <v>11.359582878914408</v>
      </c>
      <c r="J79" s="25"/>
      <c r="K79" s="68">
        <f>2200/(LOG(((U79/1000)^0.5)/(R79/1000000))+5.47)-273</f>
        <v>95.630234465058152</v>
      </c>
      <c r="L79" s="8">
        <v>24</v>
      </c>
      <c r="M79" s="8">
        <v>7.53</v>
      </c>
      <c r="N79" s="109" t="s">
        <v>66</v>
      </c>
      <c r="O79" s="110">
        <v>3680.3333333333335</v>
      </c>
      <c r="P79" s="30">
        <v>3759</v>
      </c>
      <c r="Q79" s="30">
        <f>Y79/32*96/1000</f>
        <v>19.135582035477725</v>
      </c>
      <c r="R79" s="30">
        <v>2290107.397771026</v>
      </c>
      <c r="S79" s="30">
        <v>87840.079568964211</v>
      </c>
      <c r="T79" s="30">
        <v>3733390.0047970107</v>
      </c>
      <c r="U79" s="30">
        <v>51974.675129916388</v>
      </c>
      <c r="V79" s="9">
        <v>56.882857142857134</v>
      </c>
      <c r="W79" s="30">
        <v>24905.013826322738</v>
      </c>
      <c r="X79" s="30">
        <v>2976.5153295574273</v>
      </c>
      <c r="Y79" s="30">
        <v>6378.5273451592411</v>
      </c>
      <c r="Z79" s="30">
        <v>67498.35910197362</v>
      </c>
      <c r="AA79" s="30">
        <v>48250.924516693114</v>
      </c>
      <c r="AB79" s="9">
        <v>3.6552568790942237</v>
      </c>
      <c r="AC79" s="9"/>
      <c r="AD79" s="9">
        <v>69.117142857142852</v>
      </c>
      <c r="AE79" s="30">
        <v>1924.9279794466045</v>
      </c>
      <c r="AF79" s="9"/>
      <c r="AG79" s="9">
        <v>24.343951018528305</v>
      </c>
      <c r="AH79" s="9">
        <v>12.520499999999998</v>
      </c>
      <c r="AI79" s="9">
        <v>518.17285714285708</v>
      </c>
      <c r="AJ79" s="9"/>
      <c r="AK79" s="9"/>
      <c r="AL79" s="30">
        <v>50802.052619047616</v>
      </c>
      <c r="AM79" s="30">
        <v>1933.5727570838833</v>
      </c>
      <c r="AN79" s="30">
        <v>1232.6045200174112</v>
      </c>
      <c r="AO79" s="30"/>
      <c r="AP79" s="30">
        <v>1407.1727272727273</v>
      </c>
      <c r="AQ79" s="9">
        <v>69.461428571428584</v>
      </c>
      <c r="AR79" s="30">
        <v>2004.0425</v>
      </c>
      <c r="AS79" s="30"/>
      <c r="AT79" s="30">
        <v>218.98040995062357</v>
      </c>
      <c r="AU79" s="30"/>
      <c r="AV79" s="30">
        <v>321.83999999999997</v>
      </c>
      <c r="AW79" s="30">
        <v>7304.887200000001</v>
      </c>
      <c r="AX79" s="30">
        <v>177.51428571428573</v>
      </c>
      <c r="AY79" s="30">
        <v>126.32844228521679</v>
      </c>
      <c r="AZ79" s="9">
        <v>97.105714285714285</v>
      </c>
      <c r="BA79" s="9">
        <v>10.545714285714286</v>
      </c>
      <c r="BB79" s="9">
        <v>57.444000000000003</v>
      </c>
      <c r="BC79" s="9">
        <v>24.912857142857145</v>
      </c>
      <c r="BD79" s="9"/>
      <c r="BE79" s="9">
        <v>49.68</v>
      </c>
      <c r="BF79" s="9"/>
      <c r="BG79" s="9"/>
      <c r="BH79" s="9"/>
      <c r="BI79" s="9"/>
      <c r="BJ79" s="9"/>
      <c r="BK79" s="9"/>
      <c r="BL79" s="9"/>
      <c r="BM79" s="30">
        <v>108.94285714285714</v>
      </c>
      <c r="BN79" s="9"/>
      <c r="BO79" s="30"/>
      <c r="BP79" s="30"/>
      <c r="BQ79" s="9"/>
      <c r="BR79" s="10">
        <v>1.2765909090909089</v>
      </c>
      <c r="BS79" s="9"/>
      <c r="BT79" s="9"/>
      <c r="BU79" s="30">
        <v>137.30822857142857</v>
      </c>
      <c r="BV79" s="30"/>
      <c r="BW79" s="9">
        <f t="shared" ref="BW79:BW90" si="24">O79/61/(O79/61+P79/35.5+Q79/96*2)*100</f>
        <v>36.21028765353676</v>
      </c>
      <c r="BX79" s="9">
        <f t="shared" ref="BX79:BX90" si="25">P79/35.5/(O79/61+P79/35.5+Q79/96*2)*100</f>
        <v>63.550449594418183</v>
      </c>
      <c r="BY79" s="9">
        <f t="shared" ref="BY79:BY90" si="26">Q79/96*2/(O79/61+P79/35.5+Q79/96*2)*100</f>
        <v>0.23926275204506176</v>
      </c>
      <c r="BZ79" s="9">
        <f>T79/23/(T79/23+U79/24.31*2+AA79/40.08*2)*100</f>
        <v>96.045252459433414</v>
      </c>
      <c r="CA79" s="9">
        <f>AA79/40.08*2/(T79/23+U79/24.31*2+AA79/40.08*2)*100</f>
        <v>1.4246503855061119</v>
      </c>
      <c r="CB79" s="9">
        <f>U79/24.31*2/(T79/23+U79/24.31*2+AA79/40.08*2)*100</f>
        <v>2.5300971550604654</v>
      </c>
      <c r="CC79" s="9"/>
      <c r="CD79" s="128">
        <v>24</v>
      </c>
      <c r="CE79" s="112">
        <v>4.4000000000000004</v>
      </c>
      <c r="CF79" s="113">
        <v>-28</v>
      </c>
      <c r="CG79" s="30"/>
      <c r="CH79" s="66">
        <v>90.04</v>
      </c>
      <c r="CI79" s="66">
        <v>6.27</v>
      </c>
      <c r="CJ79" s="66">
        <v>3.0000000000000001E-3</v>
      </c>
      <c r="CK79" s="66">
        <v>0.04</v>
      </c>
      <c r="CL79" s="136" t="s">
        <v>516</v>
      </c>
      <c r="CM79" s="66">
        <v>0.13700000000000001</v>
      </c>
      <c r="CN79" s="66"/>
      <c r="CO79" s="66">
        <v>2.56</v>
      </c>
      <c r="CP79" s="10">
        <f>SUM(CH79:CO79)</f>
        <v>99.050000000000011</v>
      </c>
      <c r="CQ79" s="30"/>
      <c r="CR79" s="9"/>
      <c r="CS79" s="63">
        <v>-52.1</v>
      </c>
      <c r="CT79" s="63">
        <v>8</v>
      </c>
      <c r="CU79" s="9"/>
      <c r="CV79" s="9"/>
    </row>
    <row r="80" spans="1:100" x14ac:dyDescent="0.4">
      <c r="A80" s="26">
        <v>20</v>
      </c>
      <c r="B80" s="40" t="s">
        <v>213</v>
      </c>
      <c r="C80" s="72" t="s">
        <v>214</v>
      </c>
      <c r="D80" s="120" t="s">
        <v>426</v>
      </c>
      <c r="E80" s="76">
        <v>45.348111111111116</v>
      </c>
      <c r="F80" s="42">
        <v>36.90508333333333</v>
      </c>
      <c r="G80" s="8">
        <v>29</v>
      </c>
      <c r="H80" s="41">
        <v>37129</v>
      </c>
      <c r="I80" s="9">
        <f>(O80+P80+Z80/1000+AA80/1000+T80/1000+U80/1000+Y80/1000/32*96)/1000</f>
        <v>27.531760270119012</v>
      </c>
      <c r="J80" s="8"/>
      <c r="K80" s="68">
        <f>2200/(LOG(((U80/1000)^0.5)/(R80/1000000))+5.47)-273</f>
        <v>88.388956903366193</v>
      </c>
      <c r="L80" s="8"/>
      <c r="M80" s="27">
        <v>7.12</v>
      </c>
      <c r="N80" s="8">
        <v>0.2</v>
      </c>
      <c r="O80" s="29">
        <v>1360</v>
      </c>
      <c r="P80" s="30">
        <v>16117</v>
      </c>
      <c r="Q80" s="30">
        <f>Y80/32*96/1000</f>
        <v>7.8081715444798627</v>
      </c>
      <c r="R80" s="30">
        <v>3116610</v>
      </c>
      <c r="S80" s="30">
        <v>43176.023261015442</v>
      </c>
      <c r="T80" s="30">
        <v>9696000</v>
      </c>
      <c r="U80" s="30">
        <v>166960</v>
      </c>
      <c r="V80" s="30">
        <v>284.299110363068</v>
      </c>
      <c r="W80" s="30">
        <v>5170.8074534161487</v>
      </c>
      <c r="X80" s="30" t="s">
        <v>215</v>
      </c>
      <c r="Y80" s="30">
        <v>2602.7238481599543</v>
      </c>
      <c r="Z80" s="30">
        <v>65664</v>
      </c>
      <c r="AA80" s="30">
        <v>118328.0985745349</v>
      </c>
      <c r="AB80" s="9">
        <v>3.5416216216216219</v>
      </c>
      <c r="AC80" s="30" t="s">
        <v>216</v>
      </c>
      <c r="AD80" s="30">
        <v>65.17</v>
      </c>
      <c r="AE80" s="30">
        <v>196.89922480620154</v>
      </c>
      <c r="AF80" s="9">
        <v>0.90466047785505477</v>
      </c>
      <c r="AG80" s="9">
        <v>19.141692160677358</v>
      </c>
      <c r="AH80" s="30" t="s">
        <v>217</v>
      </c>
      <c r="AI80" s="30" t="s">
        <v>217</v>
      </c>
      <c r="AJ80" s="30" t="s">
        <v>75</v>
      </c>
      <c r="AK80" s="30" t="s">
        <v>73</v>
      </c>
      <c r="AL80" s="30">
        <v>109494.03035691079</v>
      </c>
      <c r="AM80" s="30">
        <v>11500</v>
      </c>
      <c r="AN80" s="30">
        <v>10000</v>
      </c>
      <c r="AO80" s="30" t="s">
        <v>218</v>
      </c>
      <c r="AP80" s="30"/>
      <c r="AQ80" s="30" t="s">
        <v>219</v>
      </c>
      <c r="AR80" s="30"/>
      <c r="AS80" s="30" t="s">
        <v>99</v>
      </c>
      <c r="AT80" s="30" t="s">
        <v>218</v>
      </c>
      <c r="AU80" s="30" t="s">
        <v>220</v>
      </c>
      <c r="AV80" s="30" t="s">
        <v>219</v>
      </c>
      <c r="AW80" s="30">
        <v>13918.313333333335</v>
      </c>
      <c r="AX80" s="30"/>
      <c r="AY80" s="30" t="s">
        <v>97</v>
      </c>
      <c r="AZ80" s="30" t="s">
        <v>74</v>
      </c>
      <c r="BA80" s="30" t="s">
        <v>69</v>
      </c>
      <c r="BB80" s="30" t="s">
        <v>98</v>
      </c>
      <c r="BC80" s="30" t="s">
        <v>76</v>
      </c>
      <c r="BD80" s="30" t="s">
        <v>69</v>
      </c>
      <c r="BE80" s="30" t="s">
        <v>74</v>
      </c>
      <c r="BF80" s="30" t="s">
        <v>69</v>
      </c>
      <c r="BG80" s="30" t="s">
        <v>74</v>
      </c>
      <c r="BH80" s="30" t="s">
        <v>69</v>
      </c>
      <c r="BI80" s="30" t="s">
        <v>74</v>
      </c>
      <c r="BJ80" s="30" t="s">
        <v>69</v>
      </c>
      <c r="BK80" s="30" t="s">
        <v>74</v>
      </c>
      <c r="BL80" s="30" t="s">
        <v>69</v>
      </c>
      <c r="BM80" s="31" t="s">
        <v>74</v>
      </c>
      <c r="BN80" s="30" t="s">
        <v>74</v>
      </c>
      <c r="BO80" s="31" t="s">
        <v>99</v>
      </c>
      <c r="BP80" s="31" t="s">
        <v>74</v>
      </c>
      <c r="BQ80" s="10" t="s">
        <v>74</v>
      </c>
      <c r="BR80" s="10" t="s">
        <v>221</v>
      </c>
      <c r="BS80" s="30" t="s">
        <v>69</v>
      </c>
      <c r="BT80" s="30" t="s">
        <v>76</v>
      </c>
      <c r="BU80" s="30">
        <v>591.70000000000016</v>
      </c>
      <c r="BV80" s="30"/>
      <c r="BW80" s="9">
        <f t="shared" si="24"/>
        <v>4.6793407944159222</v>
      </c>
      <c r="BX80" s="9">
        <f t="shared" si="25"/>
        <v>95.286517618054816</v>
      </c>
      <c r="BY80" s="9">
        <f t="shared" si="26"/>
        <v>3.4141587529271052E-2</v>
      </c>
      <c r="BZ80" s="9">
        <f>T80/23/(T80/23+U80/24.31*2+AA80/40.08*2)*100</f>
        <v>95.548446947929563</v>
      </c>
      <c r="CA80" s="9">
        <f>AA80/40.08*2/(T80/23+U80/24.31*2+AA80/40.08*2)*100</f>
        <v>1.3382862942085176</v>
      </c>
      <c r="CB80" s="9">
        <f>U80/24.31*2/(T80/23+U80/24.31*2+AA80/40.08*2)*100</f>
        <v>3.113266757861918</v>
      </c>
      <c r="CC80" s="9"/>
      <c r="CD80" s="8"/>
      <c r="CE80" s="9">
        <v>0.82649185350671805</v>
      </c>
      <c r="CF80" s="30">
        <v>-30.924310524865177</v>
      </c>
      <c r="CG80" s="30"/>
      <c r="CH80" s="8">
        <v>94.81</v>
      </c>
      <c r="CI80" s="10">
        <v>4.95</v>
      </c>
      <c r="CJ80" s="8"/>
      <c r="CK80" s="31"/>
      <c r="CL80" s="31"/>
      <c r="CM80" s="31"/>
      <c r="CN80" s="8">
        <v>1E-3</v>
      </c>
      <c r="CO80" s="10">
        <v>0.47</v>
      </c>
      <c r="CP80" s="10">
        <f>SUM(CH80:CO80)</f>
        <v>100.23100000000001</v>
      </c>
      <c r="CQ80" s="8"/>
      <c r="CR80" s="9"/>
      <c r="CS80" s="9"/>
      <c r="CT80" s="9"/>
      <c r="CU80" s="9"/>
      <c r="CV80" s="9"/>
    </row>
    <row r="81" spans="1:100" x14ac:dyDescent="0.4">
      <c r="A81" s="26">
        <v>21</v>
      </c>
      <c r="B81" s="40" t="s">
        <v>222</v>
      </c>
      <c r="C81" s="69" t="s">
        <v>223</v>
      </c>
      <c r="D81" s="122" t="s">
        <v>427</v>
      </c>
      <c r="E81" s="76">
        <v>45.432305555555551</v>
      </c>
      <c r="F81" s="42">
        <v>36.922527777777773</v>
      </c>
      <c r="G81" s="8">
        <v>10</v>
      </c>
      <c r="H81" s="41">
        <v>37128</v>
      </c>
      <c r="I81" s="9">
        <f>(O81+P81+Z81/1000+AA81/1000+T81/1000+U81/1000+Y81/1000/32*96)/1000</f>
        <v>25.598728227493822</v>
      </c>
      <c r="J81" s="8"/>
      <c r="K81" s="68">
        <f>2200/(LOG(((U81/1000)^0.5)/(R81/1000000))+5.47)-273</f>
        <v>35.890551710134389</v>
      </c>
      <c r="L81" s="8"/>
      <c r="M81" s="27">
        <v>7.15</v>
      </c>
      <c r="N81" s="8">
        <v>0.53</v>
      </c>
      <c r="O81" s="29">
        <v>1372.5</v>
      </c>
      <c r="P81" s="30">
        <v>7952</v>
      </c>
      <c r="Q81" s="30">
        <f>Y81/32*96/1000</f>
        <v>7925.5288322225451</v>
      </c>
      <c r="R81" s="30">
        <v>657951</v>
      </c>
      <c r="S81" s="30">
        <v>160322.07559830017</v>
      </c>
      <c r="T81" s="30">
        <v>6900000</v>
      </c>
      <c r="U81" s="30">
        <v>872800</v>
      </c>
      <c r="V81" s="30">
        <v>566.28997355133436</v>
      </c>
      <c r="W81" s="30">
        <v>4622.0496894409935</v>
      </c>
      <c r="X81" s="30" t="s">
        <v>215</v>
      </c>
      <c r="Y81" s="30">
        <v>2641842.9440741818</v>
      </c>
      <c r="Z81" s="30">
        <v>21926</v>
      </c>
      <c r="AA81" s="30">
        <v>553973.39527127834</v>
      </c>
      <c r="AB81" s="9">
        <v>10.897297297297298</v>
      </c>
      <c r="AC81" s="30" t="s">
        <v>216</v>
      </c>
      <c r="AD81" s="30">
        <v>5289.6</v>
      </c>
      <c r="AE81" s="30">
        <v>491.01687186502505</v>
      </c>
      <c r="AF81" s="9">
        <v>15.162466761664318</v>
      </c>
      <c r="AG81" s="9">
        <v>49.123160242508497</v>
      </c>
      <c r="AH81" s="30" t="s">
        <v>217</v>
      </c>
      <c r="AI81" s="30" t="s">
        <v>217</v>
      </c>
      <c r="AJ81" s="30" t="s">
        <v>75</v>
      </c>
      <c r="AK81" s="30" t="s">
        <v>73</v>
      </c>
      <c r="AL81" s="30">
        <v>66215.293823075423</v>
      </c>
      <c r="AM81" s="30">
        <v>8776</v>
      </c>
      <c r="AN81" s="9">
        <v>44.7</v>
      </c>
      <c r="AO81" s="30" t="s">
        <v>218</v>
      </c>
      <c r="AP81" s="30"/>
      <c r="AQ81" s="30" t="s">
        <v>219</v>
      </c>
      <c r="AR81" s="30">
        <v>57874.587499999994</v>
      </c>
      <c r="AS81" s="9" t="s">
        <v>99</v>
      </c>
      <c r="AT81" s="30" t="s">
        <v>218</v>
      </c>
      <c r="AU81" s="30" t="s">
        <v>220</v>
      </c>
      <c r="AV81" s="30" t="s">
        <v>219</v>
      </c>
      <c r="AW81" s="30">
        <v>9105.373333333333</v>
      </c>
      <c r="AX81" s="30"/>
      <c r="AY81" s="30" t="s">
        <v>76</v>
      </c>
      <c r="AZ81" s="30" t="s">
        <v>74</v>
      </c>
      <c r="BA81" s="30" t="s">
        <v>69</v>
      </c>
      <c r="BB81" s="30" t="s">
        <v>98</v>
      </c>
      <c r="BC81" s="30" t="s">
        <v>76</v>
      </c>
      <c r="BD81" s="30" t="s">
        <v>69</v>
      </c>
      <c r="BE81" s="30" t="s">
        <v>74</v>
      </c>
      <c r="BF81" s="30" t="s">
        <v>69</v>
      </c>
      <c r="BG81" s="30" t="s">
        <v>74</v>
      </c>
      <c r="BH81" s="30" t="s">
        <v>69</v>
      </c>
      <c r="BI81" s="30" t="s">
        <v>74</v>
      </c>
      <c r="BJ81" s="30" t="s">
        <v>69</v>
      </c>
      <c r="BK81" s="30" t="s">
        <v>74</v>
      </c>
      <c r="BL81" s="30" t="s">
        <v>69</v>
      </c>
      <c r="BM81" s="31" t="s">
        <v>74</v>
      </c>
      <c r="BN81" s="30" t="s">
        <v>74</v>
      </c>
      <c r="BO81" s="31" t="s">
        <v>99</v>
      </c>
      <c r="BP81" s="31" t="s">
        <v>74</v>
      </c>
      <c r="BQ81" s="10" t="s">
        <v>74</v>
      </c>
      <c r="BR81" s="10" t="s">
        <v>221</v>
      </c>
      <c r="BS81" s="30" t="s">
        <v>69</v>
      </c>
      <c r="BT81" s="30" t="s">
        <v>76</v>
      </c>
      <c r="BU81" s="30">
        <v>172754.49999999997</v>
      </c>
      <c r="BV81" s="30"/>
      <c r="BW81" s="9">
        <f t="shared" si="24"/>
        <v>5.4662706514117723</v>
      </c>
      <c r="BX81" s="9">
        <f t="shared" si="25"/>
        <v>54.419761151832745</v>
      </c>
      <c r="BY81" s="9">
        <f t="shared" si="26"/>
        <v>40.113968196755472</v>
      </c>
      <c r="BZ81" s="9">
        <f>T81/23/(T81/23+U81/24.31*2+AA81/40.08*2)*100</f>
        <v>75.103412852892788</v>
      </c>
      <c r="CA81" s="9">
        <f>AA81/40.08*2/(T81/23+U81/24.31*2+AA81/40.08*2)*100</f>
        <v>6.9203746863901499</v>
      </c>
      <c r="CB81" s="9">
        <f>U81/24.31*2/(T81/23+U81/24.31*2+AA81/40.08*2)*100</f>
        <v>17.976212460717075</v>
      </c>
      <c r="CC81" s="9"/>
      <c r="CD81" s="8"/>
      <c r="CE81" s="9">
        <v>-4.9438129696165785</v>
      </c>
      <c r="CF81" s="30">
        <v>-50.0531333156732</v>
      </c>
      <c r="CG81" s="30"/>
      <c r="CH81" s="8">
        <v>87.67</v>
      </c>
      <c r="CI81" s="8">
        <v>7.4</v>
      </c>
      <c r="CJ81" s="8"/>
      <c r="CK81" s="31"/>
      <c r="CL81" s="31"/>
      <c r="CM81" s="31"/>
      <c r="CN81" s="8">
        <v>1.2999999999999999E-2</v>
      </c>
      <c r="CO81" s="8">
        <v>4.91</v>
      </c>
      <c r="CP81" s="10">
        <f>SUM(CH81:CO81)</f>
        <v>99.993000000000009</v>
      </c>
      <c r="CQ81" s="8"/>
      <c r="CR81" s="9"/>
      <c r="CS81" s="9"/>
      <c r="CT81" s="9"/>
      <c r="CU81" s="9"/>
      <c r="CV81" s="9"/>
    </row>
    <row r="82" spans="1:100" x14ac:dyDescent="0.4">
      <c r="A82" s="26">
        <v>21</v>
      </c>
      <c r="B82" s="40" t="s">
        <v>224</v>
      </c>
      <c r="C82" s="69" t="s">
        <v>223</v>
      </c>
      <c r="D82" s="122" t="s">
        <v>427</v>
      </c>
      <c r="E82" s="76">
        <v>45.432305555555551</v>
      </c>
      <c r="F82" s="42">
        <v>36.922527777777773</v>
      </c>
      <c r="G82" s="8">
        <v>10</v>
      </c>
      <c r="H82" s="41">
        <v>40003</v>
      </c>
      <c r="I82" s="9">
        <f>(O82+P82+Z82/1000+AA82/1000+T82/1000+U82/1000+Y82/1000/32*96)/1000</f>
        <v>15.340784307625334</v>
      </c>
      <c r="J82" s="27"/>
      <c r="K82" s="68">
        <f>2200/(LOG(((U82/1000)^0.5)/(R82/1000000))+5.47)-273</f>
        <v>65.832966531715442</v>
      </c>
      <c r="L82" s="8"/>
      <c r="M82" s="8"/>
      <c r="N82" s="9">
        <v>0.6</v>
      </c>
      <c r="O82" s="29">
        <v>3782</v>
      </c>
      <c r="P82" s="30">
        <v>4964</v>
      </c>
      <c r="Q82" s="30">
        <f>Y82/32*96/1000</f>
        <v>1462.1011821532989</v>
      </c>
      <c r="R82" s="30">
        <v>1021458.5438578961</v>
      </c>
      <c r="S82" s="30">
        <v>164811.2300778339</v>
      </c>
      <c r="T82" s="30">
        <v>4814030.6302491352</v>
      </c>
      <c r="U82" s="30">
        <v>115928.68639646708</v>
      </c>
      <c r="V82" s="30"/>
      <c r="W82" s="30">
        <v>12751.524889675195</v>
      </c>
      <c r="X82" s="30"/>
      <c r="Y82" s="30">
        <v>487367.06071776623</v>
      </c>
      <c r="Z82" s="30">
        <v>29590.065336434185</v>
      </c>
      <c r="AA82" s="30">
        <v>173133.74348999996</v>
      </c>
      <c r="AB82" s="9"/>
      <c r="AC82" s="9"/>
      <c r="AD82" s="30">
        <v>242.38788</v>
      </c>
      <c r="AE82" s="30">
        <v>612.01542039943934</v>
      </c>
      <c r="AF82" s="9">
        <v>3.1781584698659646</v>
      </c>
      <c r="AG82" s="9"/>
      <c r="AH82" s="9">
        <v>2.1607692307692306</v>
      </c>
      <c r="AI82" s="9">
        <v>17.174615384615382</v>
      </c>
      <c r="AJ82" s="9"/>
      <c r="AK82" s="9">
        <v>10.517092622969189</v>
      </c>
      <c r="AL82" s="30">
        <v>39077.140100000004</v>
      </c>
      <c r="AM82" s="30">
        <v>3747.9966189119168</v>
      </c>
      <c r="AN82" s="30">
        <v>173.90346153846153</v>
      </c>
      <c r="AO82" s="30"/>
      <c r="AP82" s="30">
        <v>8746.2088888888884</v>
      </c>
      <c r="AQ82" s="30"/>
      <c r="AR82" s="30">
        <v>17570.062078431372</v>
      </c>
      <c r="AS82" s="30"/>
      <c r="AT82" s="8"/>
      <c r="AU82" s="30">
        <v>274.78750000000002</v>
      </c>
      <c r="AV82" s="30">
        <v>466.43120769230768</v>
      </c>
      <c r="AW82" s="30">
        <v>9184.147047619048</v>
      </c>
      <c r="AX82" s="30">
        <v>166.8094736842105</v>
      </c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9"/>
      <c r="BP82" s="9"/>
      <c r="BQ82" s="30"/>
      <c r="BR82" s="30"/>
      <c r="BS82" s="30"/>
      <c r="BT82" s="30"/>
      <c r="BU82" s="30">
        <v>17671.503885714286</v>
      </c>
      <c r="BV82" s="30"/>
      <c r="BW82" s="9">
        <f t="shared" si="24"/>
        <v>26.69061047347882</v>
      </c>
      <c r="BX82" s="9">
        <f t="shared" si="25"/>
        <v>60.196360922466539</v>
      </c>
      <c r="BY82" s="9">
        <f t="shared" si="26"/>
        <v>13.113028604054636</v>
      </c>
      <c r="BZ82" s="9">
        <f>T82/23/(T82/23+U82/24.31*2+AA82/40.08*2)*100</f>
        <v>92.009526168280729</v>
      </c>
      <c r="CA82" s="9">
        <f>AA82/40.08*2/(T82/23+U82/24.31*2+AA82/40.08*2)*100</f>
        <v>3.7978322947763448</v>
      </c>
      <c r="CB82" s="9">
        <f>U82/24.31*2/(T82/23+U82/24.31*2+AA82/40.08*2)*100</f>
        <v>4.1926415369429186</v>
      </c>
      <c r="CC82" s="9"/>
      <c r="CD82" s="9">
        <v>19.5</v>
      </c>
      <c r="CE82" s="9">
        <v>5.4</v>
      </c>
      <c r="CF82" s="30">
        <v>-22</v>
      </c>
      <c r="CG82" s="30"/>
      <c r="CH82" s="10">
        <v>79.066000000000003</v>
      </c>
      <c r="CI82" s="9">
        <v>16.879000000000001</v>
      </c>
      <c r="CJ82" s="32">
        <v>1.5589E-3</v>
      </c>
      <c r="CK82" s="32"/>
      <c r="CL82" s="32"/>
      <c r="CM82" s="32"/>
      <c r="CN82" s="31">
        <v>1.644E-2</v>
      </c>
      <c r="CO82" s="10">
        <v>0.79429000000000005</v>
      </c>
      <c r="CP82" s="10">
        <v>96.757999999999996</v>
      </c>
      <c r="CQ82" s="8"/>
      <c r="CR82" s="118">
        <v>-0.8</v>
      </c>
      <c r="CS82" s="126">
        <v>-54.5</v>
      </c>
      <c r="CT82" s="126">
        <v>3.2</v>
      </c>
      <c r="CU82" s="9"/>
      <c r="CV82" s="9"/>
    </row>
    <row r="83" spans="1:100" x14ac:dyDescent="0.4">
      <c r="A83" s="26">
        <v>21</v>
      </c>
      <c r="B83" s="40" t="s">
        <v>225</v>
      </c>
      <c r="C83" s="69" t="s">
        <v>223</v>
      </c>
      <c r="D83" s="122" t="s">
        <v>427</v>
      </c>
      <c r="E83" s="76">
        <v>45.432305555555551</v>
      </c>
      <c r="F83" s="42">
        <v>36.922527777777773</v>
      </c>
      <c r="G83" s="8">
        <v>10</v>
      </c>
      <c r="H83" s="41">
        <v>40003</v>
      </c>
      <c r="I83" s="9"/>
      <c r="J83" s="8"/>
      <c r="K83" s="68"/>
      <c r="L83" s="8"/>
      <c r="M83" s="8"/>
      <c r="N83" s="9">
        <v>0.4</v>
      </c>
      <c r="O83" s="29">
        <v>1464</v>
      </c>
      <c r="P83" s="30">
        <v>5035</v>
      </c>
      <c r="Q83" s="30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9">
        <f t="shared" si="24"/>
        <v>14.47256667232886</v>
      </c>
      <c r="BX83" s="9">
        <f t="shared" si="25"/>
        <v>85.527433327671147</v>
      </c>
      <c r="BY83" s="9">
        <f t="shared" si="26"/>
        <v>0</v>
      </c>
      <c r="BZ83" s="9"/>
      <c r="CA83" s="9"/>
      <c r="CB83" s="9"/>
      <c r="CC83" s="9"/>
      <c r="CD83" s="9">
        <v>-9.3000000000000007</v>
      </c>
      <c r="CE83" s="9">
        <v>-0.8</v>
      </c>
      <c r="CF83" s="30">
        <v>-33</v>
      </c>
      <c r="CG83" s="8"/>
      <c r="CH83" s="10">
        <v>83.138999999999996</v>
      </c>
      <c r="CI83" s="9">
        <v>9.9093999999999998</v>
      </c>
      <c r="CJ83" s="32">
        <v>2.0804E-3</v>
      </c>
      <c r="CK83" s="32"/>
      <c r="CL83" s="32"/>
      <c r="CM83" s="32"/>
      <c r="CN83" s="31">
        <v>1.4097E-2</v>
      </c>
      <c r="CO83" s="10">
        <v>4.0940000000000003</v>
      </c>
      <c r="CP83" s="10">
        <v>97.158000000000001</v>
      </c>
      <c r="CQ83" s="8"/>
      <c r="CR83" s="9"/>
      <c r="CS83" s="126">
        <v>-57.5</v>
      </c>
      <c r="CT83" s="126">
        <v>-17.8</v>
      </c>
      <c r="CU83" s="9"/>
      <c r="CV83" s="9"/>
    </row>
    <row r="84" spans="1:100" x14ac:dyDescent="0.4">
      <c r="A84" s="26">
        <v>21</v>
      </c>
      <c r="B84" s="40" t="s">
        <v>226</v>
      </c>
      <c r="C84" s="69" t="s">
        <v>227</v>
      </c>
      <c r="D84" s="120" t="s">
        <v>428</v>
      </c>
      <c r="E84" s="76">
        <v>45.432205000000003</v>
      </c>
      <c r="F84" s="42">
        <v>36.922539</v>
      </c>
      <c r="G84" s="30">
        <v>11</v>
      </c>
      <c r="H84" s="41">
        <v>44016</v>
      </c>
      <c r="I84" s="9">
        <f>(O84+P84+Z84/1000+AA84/1000+T84/1000+U84/1000+Y84/1000/32*96)/1000</f>
        <v>8.4000424284892983</v>
      </c>
      <c r="J84" s="27">
        <v>20</v>
      </c>
      <c r="K84" s="68">
        <f>2200/(LOG(((U84/1000)^0.5)/(R84/1000000))+5.47)-273</f>
        <v>40.0722967750105</v>
      </c>
      <c r="L84" s="8"/>
      <c r="M84" s="8"/>
      <c r="N84" s="109" t="s">
        <v>66</v>
      </c>
      <c r="O84" s="110">
        <v>1143.75</v>
      </c>
      <c r="P84" s="30">
        <v>2696</v>
      </c>
      <c r="Q84" s="30">
        <f>Y84/32*96/1000</f>
        <v>1508.0325150503902</v>
      </c>
      <c r="R84" s="30">
        <v>435210.33205671131</v>
      </c>
      <c r="S84" s="30">
        <v>19131.180472249613</v>
      </c>
      <c r="T84" s="30">
        <v>2458357.4804258929</v>
      </c>
      <c r="U84" s="30">
        <v>246411.02004025088</v>
      </c>
      <c r="V84" s="9">
        <v>37.202857142857141</v>
      </c>
      <c r="W84" s="30">
        <v>9472.6294645949274</v>
      </c>
      <c r="X84" s="30"/>
      <c r="Y84" s="30">
        <v>502677.50501679676</v>
      </c>
      <c r="Z84" s="30">
        <v>27759.478577456968</v>
      </c>
      <c r="AA84" s="30">
        <v>319731.93439530546</v>
      </c>
      <c r="AB84" s="9"/>
      <c r="AC84" s="9"/>
      <c r="AD84" s="30">
        <v>374.75714285714281</v>
      </c>
      <c r="AE84" s="30"/>
      <c r="AF84" s="9"/>
      <c r="AG84" s="9"/>
      <c r="AH84" s="9"/>
      <c r="AI84" s="9">
        <v>42.172857142857147</v>
      </c>
      <c r="AJ84" s="9"/>
      <c r="AK84" s="9"/>
      <c r="AL84" s="30">
        <v>29672.052619047616</v>
      </c>
      <c r="AM84" s="30">
        <v>3910.0800685177273</v>
      </c>
      <c r="AN84" s="9">
        <v>30.733571428571427</v>
      </c>
      <c r="AO84" s="30">
        <v>195.44342661377925</v>
      </c>
      <c r="AP84" s="30">
        <v>726.07500000000005</v>
      </c>
      <c r="AQ84" s="9"/>
      <c r="AR84" s="30">
        <v>744.74249999999995</v>
      </c>
      <c r="AS84" s="30"/>
      <c r="AT84" s="30"/>
      <c r="AU84" s="30">
        <v>904.19999999999982</v>
      </c>
      <c r="AV84" s="30">
        <v>194.57714285714286</v>
      </c>
      <c r="AW84" s="30">
        <v>5505.6872000000012</v>
      </c>
      <c r="AX84" s="9">
        <v>64.754285714285714</v>
      </c>
      <c r="AY84" s="9">
        <v>84.207612244897959</v>
      </c>
      <c r="AZ84" s="9">
        <v>86.805714285714288</v>
      </c>
      <c r="BA84" s="9">
        <v>13.785714285714285</v>
      </c>
      <c r="BB84" s="9">
        <v>66.8</v>
      </c>
      <c r="BC84" s="9"/>
      <c r="BD84" s="9"/>
      <c r="BE84" s="9">
        <v>37.619999999999997</v>
      </c>
      <c r="BF84" s="9"/>
      <c r="BG84" s="9">
        <v>26.331428571428571</v>
      </c>
      <c r="BH84" s="9"/>
      <c r="BI84" s="9">
        <v>24.945714285714281</v>
      </c>
      <c r="BJ84" s="9"/>
      <c r="BK84" s="9">
        <v>19.259999999999998</v>
      </c>
      <c r="BL84" s="9"/>
      <c r="BM84" s="9">
        <v>31.259999999999998</v>
      </c>
      <c r="BN84" s="9"/>
      <c r="BO84" s="30">
        <v>164.44142857142856</v>
      </c>
      <c r="BP84" s="30"/>
      <c r="BQ84" s="9"/>
      <c r="BR84" s="9"/>
      <c r="BS84" s="9"/>
      <c r="BT84" s="9">
        <v>14.378742857142859</v>
      </c>
      <c r="BU84" s="30">
        <v>243.88742857142859</v>
      </c>
      <c r="BV84" s="30"/>
      <c r="BW84" s="9">
        <f t="shared" si="24"/>
        <v>14.867853797581819</v>
      </c>
      <c r="BX84" s="9">
        <f t="shared" si="25"/>
        <v>60.219694029341731</v>
      </c>
      <c r="BY84" s="9">
        <f t="shared" si="26"/>
        <v>24.912452173076453</v>
      </c>
      <c r="BZ84" s="9">
        <f>T84/23/(T84/23+U84/24.31*2+AA84/40.08*2)*100</f>
        <v>74.686233289452602</v>
      </c>
      <c r="CA84" s="9">
        <f>AA84/40.08*2/(T84/23+U84/24.31*2+AA84/40.08*2)*100</f>
        <v>11.148377216842693</v>
      </c>
      <c r="CB84" s="9">
        <f>U84/24.31*2/(T84/23+U84/24.31*2+AA84/40.08*2)*100</f>
        <v>14.165389493704694</v>
      </c>
      <c r="CC84" s="9"/>
      <c r="CD84" s="111">
        <v>-23.4</v>
      </c>
      <c r="CE84" s="112">
        <v>-7.4</v>
      </c>
      <c r="CF84" s="113">
        <v>-56</v>
      </c>
      <c r="CG84" s="30"/>
      <c r="CH84" s="66">
        <v>91.14</v>
      </c>
      <c r="CI84" s="66">
        <v>6.72</v>
      </c>
      <c r="CJ84" s="66">
        <v>3.3E-3</v>
      </c>
      <c r="CK84" s="66">
        <v>3.6999999999999998E-2</v>
      </c>
      <c r="CL84" s="66"/>
      <c r="CM84" s="66">
        <v>0.1182</v>
      </c>
      <c r="CN84" s="66"/>
      <c r="CO84" s="66">
        <v>3.13</v>
      </c>
      <c r="CP84" s="10">
        <v>97.158000000000001</v>
      </c>
      <c r="CQ84" s="30"/>
      <c r="CR84" s="9"/>
      <c r="CS84" s="63">
        <v>-54.7</v>
      </c>
      <c r="CT84" s="63">
        <v>-21.7</v>
      </c>
      <c r="CU84" s="9"/>
      <c r="CV84" s="9"/>
    </row>
    <row r="85" spans="1:100" ht="16.149999999999999" x14ac:dyDescent="0.55000000000000004">
      <c r="A85" s="26">
        <v>21</v>
      </c>
      <c r="B85" s="40" t="s">
        <v>228</v>
      </c>
      <c r="C85" s="69" t="s">
        <v>382</v>
      </c>
      <c r="D85" s="120" t="s">
        <v>529</v>
      </c>
      <c r="E85" s="76">
        <v>45.432363000000002</v>
      </c>
      <c r="F85" s="42">
        <v>36.922060000000002</v>
      </c>
      <c r="G85" s="30">
        <v>13</v>
      </c>
      <c r="H85" s="41">
        <v>44016</v>
      </c>
      <c r="I85" s="8"/>
      <c r="J85" s="27">
        <v>14</v>
      </c>
      <c r="K85" s="68"/>
      <c r="L85" s="8">
        <v>-100</v>
      </c>
      <c r="M85" s="8">
        <v>7.01</v>
      </c>
      <c r="N85" s="109" t="s">
        <v>66</v>
      </c>
      <c r="O85" s="110">
        <v>235.35833333333332</v>
      </c>
      <c r="P85" s="124">
        <v>2601</v>
      </c>
      <c r="Q85" s="30"/>
      <c r="R85" s="30"/>
      <c r="S85" s="30"/>
      <c r="T85" s="30"/>
      <c r="U85" s="30"/>
      <c r="V85" s="9"/>
      <c r="W85" s="30"/>
      <c r="X85" s="30"/>
      <c r="Y85" s="30"/>
      <c r="Z85" s="30"/>
      <c r="AA85" s="30"/>
      <c r="AB85" s="9"/>
      <c r="AC85" s="9"/>
      <c r="AD85" s="30"/>
      <c r="AE85" s="30"/>
      <c r="AF85" s="9"/>
      <c r="AG85" s="9"/>
      <c r="AH85" s="9"/>
      <c r="AI85" s="9"/>
      <c r="AJ85" s="9"/>
      <c r="AK85" s="9"/>
      <c r="AL85" s="30"/>
      <c r="AM85" s="30"/>
      <c r="AN85" s="9"/>
      <c r="AO85" s="30"/>
      <c r="AP85" s="30"/>
      <c r="AQ85" s="9"/>
      <c r="AR85" s="30"/>
      <c r="AS85" s="30"/>
      <c r="AT85" s="30"/>
      <c r="AU85" s="30"/>
      <c r="AV85" s="30"/>
      <c r="AW85" s="30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30"/>
      <c r="BP85" s="30"/>
      <c r="BQ85" s="9"/>
      <c r="BR85" s="9"/>
      <c r="BS85" s="9"/>
      <c r="BT85" s="9"/>
      <c r="BU85" s="30"/>
      <c r="BV85" s="30"/>
      <c r="BW85" s="9">
        <f t="shared" si="24"/>
        <v>5.0026403373544577</v>
      </c>
      <c r="BX85" s="9">
        <f t="shared" si="25"/>
        <v>94.997359662645536</v>
      </c>
      <c r="BY85" s="9">
        <f t="shared" si="26"/>
        <v>0</v>
      </c>
      <c r="BZ85" s="9"/>
      <c r="CA85" s="9"/>
      <c r="CB85" s="9"/>
      <c r="CC85" s="9"/>
      <c r="CD85" s="111"/>
      <c r="CE85" s="112"/>
      <c r="CF85" s="113"/>
      <c r="CG85" s="30"/>
      <c r="CH85" s="8"/>
      <c r="CI85" s="10"/>
      <c r="CJ85" s="8"/>
      <c r="CK85" s="8"/>
      <c r="CL85" s="8"/>
      <c r="CM85" s="8"/>
      <c r="CN85" s="8"/>
      <c r="CO85" s="8"/>
      <c r="CP85" s="8"/>
      <c r="CQ85" s="30"/>
      <c r="CR85" s="9"/>
      <c r="CS85" s="63"/>
      <c r="CT85" s="63"/>
      <c r="CU85" s="9"/>
      <c r="CV85" s="9"/>
    </row>
    <row r="86" spans="1:100" s="90" customFormat="1" ht="17" customHeight="1" x14ac:dyDescent="0.55000000000000004">
      <c r="A86" s="79">
        <v>21</v>
      </c>
      <c r="B86" s="80" t="s">
        <v>229</v>
      </c>
      <c r="C86" s="81" t="s">
        <v>230</v>
      </c>
      <c r="D86" s="79" t="s">
        <v>530</v>
      </c>
      <c r="E86" s="82">
        <v>45.432219000000003</v>
      </c>
      <c r="F86" s="83">
        <v>36.923909999999999</v>
      </c>
      <c r="G86" s="84">
        <v>13</v>
      </c>
      <c r="H86" s="85">
        <v>42998</v>
      </c>
      <c r="I86" s="86">
        <f>(O86+P86+Z86/1000+AA86/1000+T86/1000+U86/1000+Y86/1000/32*96)/1000</f>
        <v>13.065738466951194</v>
      </c>
      <c r="J86" s="84"/>
      <c r="K86" s="87">
        <f>2200/(LOG(((U86/1000)^0.5)/(R86/1000000))+5.47)-273</f>
        <v>63.326615143331594</v>
      </c>
      <c r="L86" s="8">
        <v>372</v>
      </c>
      <c r="M86" s="84">
        <v>7.3</v>
      </c>
      <c r="N86" s="84"/>
      <c r="O86" s="88">
        <v>3660</v>
      </c>
      <c r="P86" s="89">
        <v>4609</v>
      </c>
      <c r="Q86" s="89">
        <f>Y86/32*96/1000</f>
        <v>11.982102034625902</v>
      </c>
      <c r="R86" s="89">
        <v>766166.28516484995</v>
      </c>
      <c r="S86" s="89">
        <v>125367.27781479363</v>
      </c>
      <c r="T86" s="89">
        <v>4615193.386587535</v>
      </c>
      <c r="U86" s="89">
        <v>81501.773266977019</v>
      </c>
      <c r="V86" s="86"/>
      <c r="W86" s="89">
        <v>14567.1097938369</v>
      </c>
      <c r="X86" s="89"/>
      <c r="Y86" s="89">
        <v>3994.0340115419672</v>
      </c>
      <c r="Z86" s="89">
        <v>32122.06121046378</v>
      </c>
      <c r="AA86" s="89">
        <v>55939.143851591376</v>
      </c>
      <c r="AB86" s="86"/>
      <c r="AC86" s="86"/>
      <c r="AD86" s="86">
        <v>74.777919999999995</v>
      </c>
      <c r="AE86" s="89"/>
      <c r="AF86" s="86"/>
      <c r="AG86" s="86"/>
      <c r="AH86" s="86"/>
      <c r="AI86" s="86"/>
      <c r="AJ86" s="86">
        <v>3.8345000000000002</v>
      </c>
      <c r="AK86" s="86"/>
      <c r="AL86" s="89">
        <v>53256.653055555551</v>
      </c>
      <c r="AM86" s="89">
        <v>2985.3175298888555</v>
      </c>
      <c r="AN86" s="89">
        <v>1662.3506637168139</v>
      </c>
      <c r="AO86" s="86">
        <v>78.262713431746988</v>
      </c>
      <c r="AP86" s="89">
        <v>8762.3539999999994</v>
      </c>
      <c r="AQ86" s="89"/>
      <c r="AR86" s="89">
        <v>1297.6899166666669</v>
      </c>
      <c r="AS86" s="89"/>
      <c r="AT86" s="89"/>
      <c r="AU86" s="89">
        <v>433.08000000000021</v>
      </c>
      <c r="AV86" s="86">
        <v>67.864000000000019</v>
      </c>
      <c r="AW86" s="89">
        <v>8844.8909999999996</v>
      </c>
      <c r="AX86" s="89">
        <v>175.26800000000003</v>
      </c>
      <c r="AY86" s="86"/>
      <c r="AZ86" s="89">
        <v>81.629499999999979</v>
      </c>
      <c r="BA86" s="86">
        <v>8.2910000000000004</v>
      </c>
      <c r="BB86" s="86">
        <v>30.793600000000005</v>
      </c>
      <c r="BC86" s="86"/>
      <c r="BD86" s="86"/>
      <c r="BE86" s="86"/>
      <c r="BF86" s="86"/>
      <c r="BG86" s="86">
        <v>17.021000000000001</v>
      </c>
      <c r="BH86" s="86"/>
      <c r="BI86" s="86">
        <v>10.278499999999999</v>
      </c>
      <c r="BJ86" s="86"/>
      <c r="BK86" s="86">
        <v>15.861000000000001</v>
      </c>
      <c r="BL86" s="86"/>
      <c r="BM86" s="86">
        <v>60.027000000000001</v>
      </c>
      <c r="BN86" s="89"/>
      <c r="BO86" s="89">
        <v>105.137</v>
      </c>
      <c r="BP86" s="89"/>
      <c r="BQ86" s="89"/>
      <c r="BR86" s="86"/>
      <c r="BS86" s="86"/>
      <c r="BT86" s="86"/>
      <c r="BU86" s="89">
        <v>88.165930000000003</v>
      </c>
      <c r="BV86" s="89"/>
      <c r="BW86" s="86">
        <f t="shared" si="24"/>
        <v>31.565554761226739</v>
      </c>
      <c r="BX86" s="86">
        <f t="shared" si="25"/>
        <v>68.303118260325846</v>
      </c>
      <c r="BY86" s="86">
        <f t="shared" si="26"/>
        <v>0.13132697844742716</v>
      </c>
      <c r="BZ86" s="86">
        <f>T86/23/(T86/23+U86/24.31*2+AA86/40.08*2)*100</f>
        <v>95.481200884488189</v>
      </c>
      <c r="CA86" s="86">
        <f>AA86/40.08*2/(T86/23+U86/24.31*2+AA86/40.08*2)*100</f>
        <v>1.3282318894503669</v>
      </c>
      <c r="CB86" s="86">
        <f>U86/24.31*2/(T86/23+U86/24.31*2+AA86/40.08*2)*100</f>
        <v>3.1905672260614413</v>
      </c>
      <c r="CC86" s="86"/>
      <c r="CD86" s="84">
        <v>20.7</v>
      </c>
      <c r="CE86" s="86">
        <v>4.7</v>
      </c>
      <c r="CF86" s="89">
        <v>-34.5</v>
      </c>
      <c r="CG86" s="89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6"/>
      <c r="CS86" s="86"/>
      <c r="CT86" s="86"/>
      <c r="CU86" s="86"/>
      <c r="CV86" s="86"/>
    </row>
    <row r="87" spans="1:100" x14ac:dyDescent="0.4">
      <c r="A87" s="26">
        <v>22</v>
      </c>
      <c r="B87" s="40" t="s">
        <v>231</v>
      </c>
      <c r="C87" s="69" t="s">
        <v>232</v>
      </c>
      <c r="D87" s="122" t="s">
        <v>429</v>
      </c>
      <c r="E87" s="76">
        <v>45.35413888888889</v>
      </c>
      <c r="F87" s="42">
        <v>36.71380555555556</v>
      </c>
      <c r="G87" s="8">
        <v>1</v>
      </c>
      <c r="H87" s="41">
        <v>37129</v>
      </c>
      <c r="I87" s="9">
        <f>(O87+P87+Z87/1000+AA87/1000+T87/1000+U87/1000+Y87/1000/32*96)/1000</f>
        <v>10.850609959575639</v>
      </c>
      <c r="J87" s="8"/>
      <c r="K87" s="68">
        <f>2200/(LOG(((U87/1000)^0.5)/(R87/1000000))+5.47)-273</f>
        <v>69.382075289169336</v>
      </c>
      <c r="L87" s="8"/>
      <c r="M87" s="27">
        <v>7.6</v>
      </c>
      <c r="N87" s="8">
        <v>0.72</v>
      </c>
      <c r="O87" s="29">
        <v>3721</v>
      </c>
      <c r="P87" s="30">
        <v>3656.5</v>
      </c>
      <c r="Q87" s="30">
        <f>Y87/32*96/1000</f>
        <v>7.6855983772819494</v>
      </c>
      <c r="R87" s="30">
        <v>609548</v>
      </c>
      <c r="S87" s="30">
        <v>46083.650190114073</v>
      </c>
      <c r="T87" s="30">
        <v>3394400</v>
      </c>
      <c r="U87" s="30">
        <v>30280</v>
      </c>
      <c r="V87" s="30">
        <v>402.01971627795143</v>
      </c>
      <c r="W87" s="30">
        <v>5457.7639751552788</v>
      </c>
      <c r="X87" s="30">
        <v>710.11404561824725</v>
      </c>
      <c r="Y87" s="30">
        <v>2561.8661257606495</v>
      </c>
      <c r="Z87" s="30">
        <v>27949</v>
      </c>
      <c r="AA87" s="30">
        <v>12795.361198357092</v>
      </c>
      <c r="AB87" s="9">
        <v>13.530810810810811</v>
      </c>
      <c r="AC87" s="9" t="s">
        <v>96</v>
      </c>
      <c r="AD87" s="30">
        <v>3.3099942617013078</v>
      </c>
      <c r="AE87" s="30">
        <v>213.67989056087552</v>
      </c>
      <c r="AF87" s="9">
        <v>1.3362359588645507</v>
      </c>
      <c r="AG87" s="9">
        <v>10.542937425573859</v>
      </c>
      <c r="AH87" s="30" t="s">
        <v>71</v>
      </c>
      <c r="AI87" s="9" t="s">
        <v>71</v>
      </c>
      <c r="AJ87" s="9" t="s">
        <v>97</v>
      </c>
      <c r="AK87" s="9">
        <v>10.838020618005096</v>
      </c>
      <c r="AL87" s="30">
        <v>48874.170002503852</v>
      </c>
      <c r="AM87" s="30">
        <v>1709</v>
      </c>
      <c r="AN87" s="30">
        <v>696.7</v>
      </c>
      <c r="AO87" s="9" t="s">
        <v>74</v>
      </c>
      <c r="AP87" s="30">
        <v>15674.088411188441</v>
      </c>
      <c r="AQ87" s="10" t="s">
        <v>74</v>
      </c>
      <c r="AR87" s="30">
        <v>10972.596874999999</v>
      </c>
      <c r="AS87" s="9" t="s">
        <v>69</v>
      </c>
      <c r="AT87" s="9" t="s">
        <v>69</v>
      </c>
      <c r="AU87" s="9" t="s">
        <v>74</v>
      </c>
      <c r="AV87" s="9">
        <v>1.2300677008602736</v>
      </c>
      <c r="AW87" s="30">
        <v>9840.9383333333335</v>
      </c>
      <c r="AX87" s="30">
        <v>127.34096630574732</v>
      </c>
      <c r="AY87" s="10">
        <v>0.24737299855996125</v>
      </c>
      <c r="AZ87" s="10">
        <v>0.4583800442364877</v>
      </c>
      <c r="BA87" s="9" t="s">
        <v>78</v>
      </c>
      <c r="BB87" s="10" t="s">
        <v>79</v>
      </c>
      <c r="BC87" s="10" t="s">
        <v>79</v>
      </c>
      <c r="BD87" s="31" t="s">
        <v>80</v>
      </c>
      <c r="BE87" s="10" t="s">
        <v>81</v>
      </c>
      <c r="BF87" s="10" t="s">
        <v>82</v>
      </c>
      <c r="BG87" s="10" t="s">
        <v>81</v>
      </c>
      <c r="BH87" s="10" t="s">
        <v>82</v>
      </c>
      <c r="BI87" s="31" t="s">
        <v>81</v>
      </c>
      <c r="BJ87" s="10" t="s">
        <v>82</v>
      </c>
      <c r="BK87" s="31" t="s">
        <v>77</v>
      </c>
      <c r="BL87" s="10" t="s">
        <v>78</v>
      </c>
      <c r="BM87" s="31" t="s">
        <v>81</v>
      </c>
      <c r="BN87" s="9" t="s">
        <v>81</v>
      </c>
      <c r="BO87" s="10">
        <v>0.24614022089687063</v>
      </c>
      <c r="BP87" s="31" t="s">
        <v>77</v>
      </c>
      <c r="BQ87" s="10" t="s">
        <v>80</v>
      </c>
      <c r="BR87" s="10" t="s">
        <v>74</v>
      </c>
      <c r="BS87" s="10" t="s">
        <v>78</v>
      </c>
      <c r="BT87" s="10" t="s">
        <v>84</v>
      </c>
      <c r="BU87" s="30">
        <v>1110.9250000000002</v>
      </c>
      <c r="BV87" s="30"/>
      <c r="BW87" s="9">
        <f t="shared" si="24"/>
        <v>37.158842994991872</v>
      </c>
      <c r="BX87" s="9">
        <f t="shared" si="25"/>
        <v>62.743620139084634</v>
      </c>
      <c r="BY87" s="9">
        <f t="shared" si="26"/>
        <v>9.7536865923491881E-2</v>
      </c>
      <c r="BZ87" s="9">
        <f>T87/23/(T87/23+U87/24.31*2+AA87/40.08*2)*100</f>
        <v>97.923429009380584</v>
      </c>
      <c r="CA87" s="9">
        <f>AA87/40.08*2/(T87/23+U87/24.31*2+AA87/40.08*2)*100</f>
        <v>0.42364907544979841</v>
      </c>
      <c r="CB87" s="9">
        <f>U87/24.31*2/(T87/23+U87/24.31*2+AA87/40.08*2)*100</f>
        <v>1.6529219151696177</v>
      </c>
      <c r="CC87" s="9"/>
      <c r="CD87" s="8"/>
      <c r="CE87" s="9">
        <v>3.6604396847914358</v>
      </c>
      <c r="CF87" s="30">
        <v>-28.443042134504914</v>
      </c>
      <c r="CG87" s="30"/>
      <c r="CH87" s="10">
        <v>96.33</v>
      </c>
      <c r="CI87" s="8">
        <v>3.04</v>
      </c>
      <c r="CJ87" s="8"/>
      <c r="CK87" s="31"/>
      <c r="CL87" s="31"/>
      <c r="CM87" s="31"/>
      <c r="CN87" s="8">
        <v>1E-3</v>
      </c>
      <c r="CO87" s="8">
        <v>0.73</v>
      </c>
      <c r="CP87" s="10">
        <f>SUM(CH87:CO87)</f>
        <v>100.10100000000001</v>
      </c>
      <c r="CQ87" s="8"/>
      <c r="CR87" s="9"/>
      <c r="CS87" s="9">
        <v>-53.15</v>
      </c>
      <c r="CT87" s="9">
        <v>4.5999999999999996</v>
      </c>
      <c r="CU87" s="9"/>
      <c r="CV87" s="9"/>
    </row>
    <row r="88" spans="1:100" x14ac:dyDescent="0.4">
      <c r="A88" s="26">
        <v>22</v>
      </c>
      <c r="B88" s="40" t="s">
        <v>233</v>
      </c>
      <c r="C88" s="69" t="s">
        <v>232</v>
      </c>
      <c r="D88" s="122" t="s">
        <v>429</v>
      </c>
      <c r="E88" s="76">
        <v>45.35413888888889</v>
      </c>
      <c r="F88" s="42">
        <v>36.71380555555556</v>
      </c>
      <c r="G88" s="8">
        <v>1</v>
      </c>
      <c r="H88" s="41">
        <v>40003</v>
      </c>
      <c r="I88" s="9">
        <f>(O88+P88+Z88/1000+AA88/1000+T88/1000+U88/1000+Y88/1000/32*96)/1000</f>
        <v>11.530538880389479</v>
      </c>
      <c r="J88" s="27">
        <v>17.8</v>
      </c>
      <c r="K88" s="68">
        <f>2200/(LOG(((U88/1000)^0.5)/(R88/1000000))+5.47)-273</f>
        <v>81.724406402524949</v>
      </c>
      <c r="L88" s="8">
        <v>60</v>
      </c>
      <c r="M88" s="8">
        <v>7.82</v>
      </c>
      <c r="N88" s="9">
        <v>0.6</v>
      </c>
      <c r="O88" s="29">
        <v>3050</v>
      </c>
      <c r="P88" s="30">
        <v>4255</v>
      </c>
      <c r="Q88" s="30">
        <f>Y88/32*96/1000</f>
        <v>8.4244311681708428</v>
      </c>
      <c r="R88" s="30">
        <v>1070047.367444905</v>
      </c>
      <c r="S88" s="30">
        <v>37129.373795946827</v>
      </c>
      <c r="T88" s="30">
        <v>4122379.8433199236</v>
      </c>
      <c r="U88" s="30">
        <v>33327.418325398445</v>
      </c>
      <c r="V88" s="30"/>
      <c r="W88" s="30">
        <v>6092.7212692552039</v>
      </c>
      <c r="X88" s="30"/>
      <c r="Y88" s="30">
        <v>2808.1437227236138</v>
      </c>
      <c r="Z88" s="30">
        <v>30909.193856072809</v>
      </c>
      <c r="AA88" s="30">
        <v>30497.993719912149</v>
      </c>
      <c r="AB88" s="9"/>
      <c r="AC88" s="9"/>
      <c r="AD88" s="9">
        <v>6.7952799999999991</v>
      </c>
      <c r="AE88" s="30">
        <v>195.49081604886049</v>
      </c>
      <c r="AF88" s="9"/>
      <c r="AG88" s="9"/>
      <c r="AH88" s="9"/>
      <c r="AI88" s="9"/>
      <c r="AJ88" s="9"/>
      <c r="AK88" s="9">
        <v>10.703554411204482</v>
      </c>
      <c r="AL88" s="30">
        <v>43748.740099999995</v>
      </c>
      <c r="AM88" s="30">
        <v>2477.8111056259886</v>
      </c>
      <c r="AN88" s="9">
        <v>1213.7663265689887</v>
      </c>
      <c r="AO88" s="30"/>
      <c r="AP88" s="30">
        <v>3964.8253333333332</v>
      </c>
      <c r="AQ88" s="30"/>
      <c r="AR88" s="30">
        <v>5005.7020784313727</v>
      </c>
      <c r="AS88" s="30"/>
      <c r="AT88" s="8"/>
      <c r="AU88" s="30">
        <v>318.38749999999999</v>
      </c>
      <c r="AV88" s="30">
        <v>662.87620769230773</v>
      </c>
      <c r="AW88" s="30">
        <v>6946.9870476190481</v>
      </c>
      <c r="AX88" s="30">
        <v>156.20947368421054</v>
      </c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9">
        <v>62.991153846153843</v>
      </c>
      <c r="BP88" s="30"/>
      <c r="BQ88" s="30"/>
      <c r="BR88" s="10"/>
      <c r="BS88" s="30"/>
      <c r="BT88" s="30"/>
      <c r="BU88" s="30">
        <v>341.09188571428575</v>
      </c>
      <c r="BV88" s="30"/>
      <c r="BW88" s="9">
        <f t="shared" si="24"/>
        <v>29.405768711845859</v>
      </c>
      <c r="BX88" s="9">
        <f t="shared" si="25"/>
        <v>70.491011757129101</v>
      </c>
      <c r="BY88" s="9">
        <f t="shared" si="26"/>
        <v>0.10321953102504051</v>
      </c>
      <c r="BZ88" s="9">
        <f>T88/23/(T88/23+U88/24.31*2+AA88/40.08*2)*100</f>
        <v>97.676414133142544</v>
      </c>
      <c r="CA88" s="9">
        <f>AA88/40.08*2/(T88/23+U88/24.31*2+AA88/40.08*2)*100</f>
        <v>0.82936001060106357</v>
      </c>
      <c r="CB88" s="9">
        <f>U88/24.31*2/(T88/23+U88/24.31*2+AA88/40.08*2)*100</f>
        <v>1.4942258562564099</v>
      </c>
      <c r="CC88" s="9"/>
      <c r="CD88" s="9">
        <v>15.8</v>
      </c>
      <c r="CE88" s="9">
        <v>3</v>
      </c>
      <c r="CF88" s="30">
        <v>-22</v>
      </c>
      <c r="CG88" s="30"/>
      <c r="CH88" s="10">
        <v>92.447000000000003</v>
      </c>
      <c r="CI88" s="9">
        <v>3.6549</v>
      </c>
      <c r="CJ88" s="32">
        <v>3.9265999999999997E-3</v>
      </c>
      <c r="CK88" s="32">
        <v>3.6741999999999999E-3</v>
      </c>
      <c r="CL88" s="32"/>
      <c r="CM88" s="32"/>
      <c r="CN88" s="31">
        <v>2.3886000000000001E-2</v>
      </c>
      <c r="CO88" s="10">
        <v>1.6758999999999999</v>
      </c>
      <c r="CP88" s="10">
        <v>97.81</v>
      </c>
      <c r="CQ88" s="8"/>
      <c r="CR88" s="118">
        <v>-2.8</v>
      </c>
      <c r="CS88" s="126">
        <v>-56.2</v>
      </c>
      <c r="CT88" s="126">
        <v>6.7</v>
      </c>
      <c r="CU88" s="9"/>
      <c r="CV88" s="9"/>
    </row>
    <row r="89" spans="1:100" x14ac:dyDescent="0.4">
      <c r="A89" s="26">
        <v>22</v>
      </c>
      <c r="B89" s="40" t="s">
        <v>234</v>
      </c>
      <c r="C89" s="71" t="s">
        <v>235</v>
      </c>
      <c r="D89" s="122" t="s">
        <v>430</v>
      </c>
      <c r="E89" s="76">
        <v>45.35425</v>
      </c>
      <c r="F89" s="42">
        <v>36.714233999999998</v>
      </c>
      <c r="G89" s="8">
        <v>0</v>
      </c>
      <c r="H89" s="41">
        <v>40003</v>
      </c>
      <c r="I89" s="9">
        <f>(O89+P89+Z89/1000+AA89/1000+T89/1000+U89/1000+Y89/1000/32*96)/1000</f>
        <v>10.860088129974375</v>
      </c>
      <c r="J89" s="8">
        <v>18.2</v>
      </c>
      <c r="K89" s="68">
        <f>2200/(LOG(((U89/1000)^0.5)/(R89/1000000))+5.47)-273</f>
        <v>74.997294030471721</v>
      </c>
      <c r="L89" s="8">
        <v>100</v>
      </c>
      <c r="M89" s="8">
        <v>7.81</v>
      </c>
      <c r="N89" s="9">
        <v>0.6</v>
      </c>
      <c r="O89" s="29">
        <v>3904</v>
      </c>
      <c r="P89" s="30">
        <v>3262</v>
      </c>
      <c r="Q89" s="30"/>
      <c r="R89" s="30">
        <v>838764.56717074255</v>
      </c>
      <c r="S89" s="30">
        <v>46323.972375210462</v>
      </c>
      <c r="T89" s="30">
        <v>3598701.390359235</v>
      </c>
      <c r="U89" s="30">
        <v>35567.769239697751</v>
      </c>
      <c r="V89" s="30"/>
      <c r="W89" s="30">
        <v>8816.8679435570029</v>
      </c>
      <c r="X89" s="30"/>
      <c r="Y89" s="30"/>
      <c r="Z89" s="30">
        <v>25293.198173199555</v>
      </c>
      <c r="AA89" s="30">
        <v>34525.772202241154</v>
      </c>
      <c r="AB89" s="9">
        <v>1.7536894245891315</v>
      </c>
      <c r="AC89" s="9"/>
      <c r="AD89" s="9">
        <v>10.027279999999998</v>
      </c>
      <c r="AE89" s="30">
        <v>303.17766497852233</v>
      </c>
      <c r="AF89" s="9"/>
      <c r="AG89" s="9"/>
      <c r="AH89" s="9"/>
      <c r="AI89" s="9">
        <v>6.5146153846153831</v>
      </c>
      <c r="AJ89" s="9"/>
      <c r="AK89" s="9">
        <v>3.940686881792717</v>
      </c>
      <c r="AL89" s="30">
        <v>35017.540099999998</v>
      </c>
      <c r="AM89" s="30">
        <v>2590.2818963728446</v>
      </c>
      <c r="AN89" s="30">
        <v>982.91183587332716</v>
      </c>
      <c r="AO89" s="30"/>
      <c r="AP89" s="30">
        <v>2748.2088888888889</v>
      </c>
      <c r="AQ89" s="30"/>
      <c r="AR89" s="30">
        <v>2797.8620784313725</v>
      </c>
      <c r="AS89" s="30"/>
      <c r="AT89" s="8"/>
      <c r="AU89" s="30"/>
      <c r="AV89" s="30">
        <v>283.92420769230773</v>
      </c>
      <c r="AW89" s="30">
        <v>5762.4870476190472</v>
      </c>
      <c r="AX89" s="30">
        <v>102.60947368421054</v>
      </c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9"/>
      <c r="BP89" s="9"/>
      <c r="BQ89" s="30"/>
      <c r="BR89" s="30"/>
      <c r="BS89" s="30"/>
      <c r="BT89" s="30"/>
      <c r="BU89" s="30">
        <v>231.7478857142857</v>
      </c>
      <c r="BV89" s="30"/>
      <c r="BW89" s="9">
        <f t="shared" si="24"/>
        <v>41.055294542826168</v>
      </c>
      <c r="BX89" s="9">
        <f t="shared" si="25"/>
        <v>58.944705457173839</v>
      </c>
      <c r="BY89" s="9">
        <f t="shared" si="26"/>
        <v>0</v>
      </c>
      <c r="BZ89" s="9">
        <f>T89/23/(T89/23+U89/24.31*2+AA89/40.08*2)*100</f>
        <v>97.114454145886356</v>
      </c>
      <c r="CA89" s="9">
        <f>AA89/40.08*2/(T89/23+U89/24.31*2+AA89/40.08*2)*100</f>
        <v>1.0693295821084601</v>
      </c>
      <c r="CB89" s="9">
        <f>U89/24.31*2/(T89/23+U89/24.31*2+AA89/40.08*2)*100</f>
        <v>1.8162162720051773</v>
      </c>
      <c r="CC89" s="9"/>
      <c r="CD89" s="9">
        <v>17.399999999999999</v>
      </c>
      <c r="CE89" s="9">
        <v>5</v>
      </c>
      <c r="CF89" s="30">
        <v>-33</v>
      </c>
      <c r="CG89" s="30"/>
      <c r="CH89" s="10">
        <v>87.448999999999998</v>
      </c>
      <c r="CI89" s="9">
        <v>5.2576999999999998</v>
      </c>
      <c r="CJ89" s="32">
        <v>1.7294999999999999E-3</v>
      </c>
      <c r="CK89" s="32">
        <v>1.3967000000000001E-3</v>
      </c>
      <c r="CL89" s="32"/>
      <c r="CM89" s="32"/>
      <c r="CN89" s="31">
        <v>1.7295000000000001E-2</v>
      </c>
      <c r="CO89" s="10">
        <v>4.83</v>
      </c>
      <c r="CP89" s="10">
        <v>97.558000000000007</v>
      </c>
      <c r="CQ89" s="8"/>
      <c r="CR89" s="9"/>
      <c r="CS89" s="126">
        <v>-52.5</v>
      </c>
      <c r="CT89" s="126">
        <v>8.3000000000000007</v>
      </c>
      <c r="CU89" s="9"/>
      <c r="CV89" s="9"/>
    </row>
    <row r="90" spans="1:100" x14ac:dyDescent="0.4">
      <c r="A90" s="26">
        <v>22</v>
      </c>
      <c r="B90" s="40" t="s">
        <v>236</v>
      </c>
      <c r="C90" s="71" t="s">
        <v>235</v>
      </c>
      <c r="D90" s="122" t="s">
        <v>430</v>
      </c>
      <c r="E90" s="76">
        <v>45.35425</v>
      </c>
      <c r="F90" s="42">
        <v>36.714233999999998</v>
      </c>
      <c r="G90" s="30">
        <v>-7.2839179999999999</v>
      </c>
      <c r="H90" s="41">
        <v>44018</v>
      </c>
      <c r="I90" s="9">
        <f>(O90+P90+Z90/1000+AA90/1000+T90/1000+U90/1000+Y90/1000/32*96)/1000</f>
        <v>11.164469702137088</v>
      </c>
      <c r="J90" s="27">
        <v>21.4</v>
      </c>
      <c r="K90" s="68">
        <f>2200/(LOG(((U90/1000)^0.5)/(R90/1000000))+5.47)-273</f>
        <v>68.136225604154845</v>
      </c>
      <c r="L90" s="8">
        <v>20</v>
      </c>
      <c r="M90" s="8">
        <v>7.37</v>
      </c>
      <c r="N90" s="109" t="s">
        <v>66</v>
      </c>
      <c r="O90" s="110">
        <v>3731.1666666666665</v>
      </c>
      <c r="P90" s="124">
        <v>3518</v>
      </c>
      <c r="Q90" s="30">
        <f>Y90/32*96/1000</f>
        <v>7.5104621001522247</v>
      </c>
      <c r="R90" s="30">
        <v>641196.47603477398</v>
      </c>
      <c r="S90" s="30">
        <v>49994.437100604031</v>
      </c>
      <c r="T90" s="30">
        <v>3807813.4546042322</v>
      </c>
      <c r="U90" s="30">
        <v>37329.779725139706</v>
      </c>
      <c r="V90" s="9"/>
      <c r="W90" s="30">
        <v>9793.6416318426345</v>
      </c>
      <c r="X90" s="30">
        <v>1235.5610259630905</v>
      </c>
      <c r="Y90" s="30">
        <v>2503.4873667174083</v>
      </c>
      <c r="Z90" s="30">
        <v>34331.447780902148</v>
      </c>
      <c r="AA90" s="30">
        <v>28317.891259998054</v>
      </c>
      <c r="AB90" s="9"/>
      <c r="AC90" s="9"/>
      <c r="AD90" s="9">
        <v>10.717142857142857</v>
      </c>
      <c r="AE90" s="30">
        <v>925.54057872914291</v>
      </c>
      <c r="AF90" s="9"/>
      <c r="AG90" s="9"/>
      <c r="AH90" s="9"/>
      <c r="AI90" s="9"/>
      <c r="AJ90" s="9"/>
      <c r="AK90" s="9">
        <v>10.133303583357581</v>
      </c>
      <c r="AL90" s="30">
        <v>55522.052619047616</v>
      </c>
      <c r="AM90" s="30">
        <v>2288.7313443553771</v>
      </c>
      <c r="AN90" s="30">
        <v>1064.9456355785373</v>
      </c>
      <c r="AO90" s="30"/>
      <c r="AP90" s="30">
        <v>2060.875</v>
      </c>
      <c r="AQ90" s="9"/>
      <c r="AR90" s="30">
        <v>4939.0424999999996</v>
      </c>
      <c r="AS90" s="30"/>
      <c r="AT90" s="30"/>
      <c r="AU90" s="30"/>
      <c r="AV90" s="30">
        <v>139.54000000000002</v>
      </c>
      <c r="AW90" s="30">
        <v>7498.3272000000015</v>
      </c>
      <c r="AX90" s="30">
        <v>145.29428571428571</v>
      </c>
      <c r="AY90" s="30"/>
      <c r="AZ90" s="9">
        <v>28.285714285714292</v>
      </c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30"/>
      <c r="BP90" s="30"/>
      <c r="BQ90" s="9"/>
      <c r="BR90" s="10"/>
      <c r="BS90" s="9"/>
      <c r="BT90" s="9"/>
      <c r="BU90" s="30">
        <v>377.83942857142858</v>
      </c>
      <c r="BV90" s="30"/>
      <c r="BW90" s="9">
        <f t="shared" si="24"/>
        <v>38.128667559289603</v>
      </c>
      <c r="BX90" s="9">
        <f t="shared" si="25"/>
        <v>61.773797048124109</v>
      </c>
      <c r="BY90" s="9">
        <f t="shared" si="26"/>
        <v>9.7535392586290265E-2</v>
      </c>
      <c r="BZ90" s="9">
        <f>T90/23/(T90/23+U90/24.31*2+AA90/40.08*2)*100</f>
        <v>97.362867799725223</v>
      </c>
      <c r="CA90" s="9">
        <f>AA90/40.08*2/(T90/23+U90/24.31*2+AA90/40.08*2)*100</f>
        <v>0.8310147301502514</v>
      </c>
      <c r="CB90" s="9">
        <f>U90/24.31*2/(T90/23+U90/24.31*2+AA90/40.08*2)*100</f>
        <v>1.8061174701245157</v>
      </c>
      <c r="CC90" s="9"/>
      <c r="CD90" s="128">
        <v>17</v>
      </c>
      <c r="CE90" s="112">
        <v>3.4</v>
      </c>
      <c r="CF90" s="113">
        <v>-24</v>
      </c>
      <c r="CG90" s="30"/>
      <c r="CH90" s="8">
        <v>95.14</v>
      </c>
      <c r="CI90" s="10">
        <v>6.3730000000000002</v>
      </c>
      <c r="CJ90" s="32">
        <v>3.7950000000000002E-3</v>
      </c>
      <c r="CK90" s="8"/>
      <c r="CL90" s="31">
        <v>5.4120000000000001E-2</v>
      </c>
      <c r="CM90" s="31">
        <v>5.2699999999999997E-2</v>
      </c>
      <c r="CN90" s="8"/>
      <c r="CO90" s="10">
        <v>0.82650000000000001</v>
      </c>
      <c r="CP90" s="10">
        <v>97.558000000000007</v>
      </c>
      <c r="CQ90" s="30"/>
      <c r="CR90" s="9"/>
      <c r="CS90" s="63">
        <v>-50.4</v>
      </c>
      <c r="CT90" s="63">
        <v>-2.2000000000000002</v>
      </c>
      <c r="CU90" s="9"/>
      <c r="CV90" s="9"/>
    </row>
    <row r="91" spans="1:100" x14ac:dyDescent="0.4">
      <c r="A91" s="26"/>
      <c r="B91" s="44"/>
      <c r="C91" s="69"/>
      <c r="D91" s="26"/>
      <c r="E91" s="76"/>
      <c r="F91" s="42"/>
      <c r="G91" s="8"/>
      <c r="H91" s="41"/>
      <c r="I91" s="8"/>
      <c r="J91" s="8"/>
      <c r="K91" s="68"/>
      <c r="L91" s="8"/>
      <c r="M91" s="8"/>
      <c r="N91" s="8"/>
      <c r="O91" s="29"/>
      <c r="P91" s="30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9"/>
      <c r="CF91" s="30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9"/>
      <c r="CS91" s="9"/>
      <c r="CT91" s="9"/>
      <c r="CU91" s="9"/>
      <c r="CV91" s="9"/>
    </row>
    <row r="92" spans="1:100" x14ac:dyDescent="0.4">
      <c r="A92" s="26"/>
      <c r="B92" s="40"/>
      <c r="C92" s="73" t="s">
        <v>484</v>
      </c>
      <c r="D92" s="45"/>
      <c r="E92" s="76"/>
      <c r="F92" s="42"/>
      <c r="G92" s="8"/>
      <c r="H92" s="41"/>
      <c r="I92" s="9"/>
      <c r="J92" s="8"/>
      <c r="K92" s="68"/>
      <c r="L92" s="8"/>
      <c r="M92" s="8"/>
      <c r="N92" s="8"/>
      <c r="O92" s="29"/>
      <c r="P92" s="30"/>
      <c r="Q92" s="30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9"/>
      <c r="BX92" s="9"/>
      <c r="BY92" s="9"/>
      <c r="BZ92" s="9"/>
      <c r="CA92" s="9"/>
      <c r="CB92" s="9"/>
      <c r="CC92" s="9"/>
      <c r="CD92" s="8"/>
      <c r="CE92" s="9"/>
      <c r="CF92" s="30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9"/>
      <c r="CS92" s="9"/>
      <c r="CT92" s="9"/>
      <c r="CU92" s="9"/>
      <c r="CV92" s="9"/>
    </row>
    <row r="93" spans="1:100" x14ac:dyDescent="0.4">
      <c r="A93" s="26">
        <v>23</v>
      </c>
      <c r="B93" s="40" t="s">
        <v>237</v>
      </c>
      <c r="C93" s="71" t="s">
        <v>238</v>
      </c>
      <c r="D93" s="133" t="s">
        <v>431</v>
      </c>
      <c r="E93" s="76">
        <v>45.377952999999998</v>
      </c>
      <c r="F93" s="42">
        <v>36.618516</v>
      </c>
      <c r="G93" s="46">
        <v>19.676479</v>
      </c>
      <c r="H93" s="41">
        <v>42206</v>
      </c>
      <c r="I93" s="9">
        <f t="shared" ref="I93:I98" si="27">(O93+P93+Z93/1000+AA93/1000+T93/1000+U93/1000+Y93/1000/32*96)/1000</f>
        <v>11.544861478227217</v>
      </c>
      <c r="J93" s="8">
        <v>26.7</v>
      </c>
      <c r="K93" s="68">
        <f t="shared" ref="K93:K98" si="28">2200/(LOG(((U93/1000)^0.5)/(R93/1000000))+5.47)-273</f>
        <v>34.287803955289519</v>
      </c>
      <c r="L93" s="8">
        <v>30</v>
      </c>
      <c r="M93" s="10">
        <v>8.5</v>
      </c>
      <c r="N93" s="10">
        <v>1</v>
      </c>
      <c r="O93" s="29">
        <v>3940</v>
      </c>
      <c r="P93" s="30">
        <v>3475</v>
      </c>
      <c r="Q93" s="30">
        <f t="shared" ref="Q93:Q98" si="29">Y93/32*96/1000</f>
        <v>666.67495933839336</v>
      </c>
      <c r="R93" s="30">
        <v>158659.21761104569</v>
      </c>
      <c r="S93" s="30">
        <v>316219.42196986219</v>
      </c>
      <c r="T93" s="30">
        <v>3368359.2670571199</v>
      </c>
      <c r="U93" s="30">
        <v>60221.930684665924</v>
      </c>
      <c r="V93" s="30">
        <v>222.665174347495</v>
      </c>
      <c r="W93" s="30">
        <v>6342.5606420775503</v>
      </c>
      <c r="X93" s="30"/>
      <c r="Y93" s="30">
        <v>222224.98644613114</v>
      </c>
      <c r="Z93" s="30">
        <v>13522.661760362795</v>
      </c>
      <c r="AA93" s="30">
        <v>21082.659386674335</v>
      </c>
      <c r="AB93" s="30"/>
      <c r="AC93" s="30"/>
      <c r="AD93" s="9">
        <v>83.913459459892223</v>
      </c>
      <c r="AE93" s="30">
        <v>713.06474902247885</v>
      </c>
      <c r="AF93" s="30"/>
      <c r="AG93" s="30"/>
      <c r="AH93" s="30"/>
      <c r="AI93" s="30"/>
      <c r="AJ93" s="9"/>
      <c r="AK93" s="9">
        <v>4.4397260487448866</v>
      </c>
      <c r="AL93" s="30">
        <v>23369.447173590055</v>
      </c>
      <c r="AM93" s="30">
        <v>650.84975872319455</v>
      </c>
      <c r="AN93" s="30">
        <v>124.59653760063685</v>
      </c>
      <c r="AO93" s="10">
        <f>1000*0.447554912470268</f>
        <v>447.55491247026799</v>
      </c>
      <c r="AP93" s="9">
        <v>15482.975373638779</v>
      </c>
      <c r="AQ93" s="9"/>
      <c r="AR93" s="9">
        <v>58066.343544086907</v>
      </c>
      <c r="AS93" s="9"/>
      <c r="AT93" s="9"/>
      <c r="AU93" s="9">
        <v>1728.6107263619456</v>
      </c>
      <c r="AV93" s="10">
        <v>567.08719019749356</v>
      </c>
      <c r="AW93" s="30">
        <f>1000*2.88086815241671</f>
        <v>2880.86815241671</v>
      </c>
      <c r="AX93" s="30">
        <v>35.516726110412776</v>
      </c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9"/>
      <c r="BS93" s="10"/>
      <c r="BT93" s="10"/>
      <c r="BU93" s="9">
        <v>26180.43839080695</v>
      </c>
      <c r="BV93" s="9"/>
      <c r="BW93" s="9">
        <f t="shared" ref="BW93:BW98" si="30">O93/61/(O93/61+P93/35.5+Q93/96*2)*100</f>
        <v>36.622683896803046</v>
      </c>
      <c r="BX93" s="9">
        <f t="shared" ref="BX93:BX98" si="31">P93/35.5/(O93/61+P93/35.5+Q93/96*2)*100</f>
        <v>55.50220504057215</v>
      </c>
      <c r="BY93" s="9">
        <f t="shared" ref="BY93:BY98" si="32">Q93/96*2/(O93/61+P93/35.5+Q93/96*2)*100</f>
        <v>7.8751110626248106</v>
      </c>
      <c r="BZ93" s="9">
        <f t="shared" ref="BZ93:BZ98" si="33">T93/23/(T93/23+U93/24.31*2+AA93/40.08*2)*100</f>
        <v>96.060180727354478</v>
      </c>
      <c r="CA93" s="9">
        <f t="shared" ref="CA93:CA98" si="34">AA93/40.08*2/(T93/23+U93/24.31*2+AA93/40.08*2)*100</f>
        <v>0.69004991012834593</v>
      </c>
      <c r="CB93" s="9">
        <f t="shared" ref="CB93:CB98" si="35">U93/24.31*2/(T93/23+U93/24.31*2+AA93/40.08*2)*100</f>
        <v>3.2497693625171902</v>
      </c>
      <c r="CC93" s="9"/>
      <c r="CD93" s="8">
        <v>6.6</v>
      </c>
      <c r="CE93" s="9">
        <v>0.4</v>
      </c>
      <c r="CF93" s="132">
        <v>-23</v>
      </c>
      <c r="CG93" s="9"/>
      <c r="CH93" s="10">
        <v>95.98</v>
      </c>
      <c r="CI93" s="27">
        <v>2.75</v>
      </c>
      <c r="CJ93" s="27">
        <v>6.7999999999999996E-3</v>
      </c>
      <c r="CK93" s="27">
        <v>9.3999999999999997E-4</v>
      </c>
      <c r="CL93" s="27"/>
      <c r="CM93" s="27"/>
      <c r="CN93" s="27">
        <v>2.1999999999999999E-2</v>
      </c>
      <c r="CO93" s="27">
        <v>0.68</v>
      </c>
      <c r="CP93" s="10">
        <f>SUM(CH93:CO93)</f>
        <v>99.439740000000015</v>
      </c>
      <c r="CQ93" s="10"/>
      <c r="CR93" s="9">
        <v>-0.35099999999999998</v>
      </c>
      <c r="CS93" s="128">
        <v>-42.4</v>
      </c>
      <c r="CT93" s="128">
        <v>-15.3</v>
      </c>
      <c r="CU93" s="137"/>
      <c r="CV93" s="137"/>
    </row>
    <row r="94" spans="1:100" x14ac:dyDescent="0.4">
      <c r="A94" s="26">
        <v>23</v>
      </c>
      <c r="B94" s="40" t="s">
        <v>239</v>
      </c>
      <c r="C94" s="69" t="s">
        <v>240</v>
      </c>
      <c r="D94" s="133" t="s">
        <v>432</v>
      </c>
      <c r="E94" s="76">
        <v>45.379238000000001</v>
      </c>
      <c r="F94" s="42">
        <v>36.619914000000001</v>
      </c>
      <c r="G94" s="46">
        <v>28.658412999999999</v>
      </c>
      <c r="H94" s="41">
        <v>42206</v>
      </c>
      <c r="I94" s="9">
        <f t="shared" si="27"/>
        <v>11.252870339905328</v>
      </c>
      <c r="J94" s="8">
        <v>21.5</v>
      </c>
      <c r="K94" s="68">
        <f t="shared" si="28"/>
        <v>88.805612613505559</v>
      </c>
      <c r="L94" s="8">
        <v>277</v>
      </c>
      <c r="M94" s="10">
        <v>7.6</v>
      </c>
      <c r="N94" s="10">
        <v>0.6</v>
      </c>
      <c r="O94" s="29">
        <v>6710</v>
      </c>
      <c r="P94" s="30">
        <v>1433</v>
      </c>
      <c r="Q94" s="30">
        <f t="shared" si="29"/>
        <v>2.5900017900270034</v>
      </c>
      <c r="R94" s="30">
        <v>1242388.4286056967</v>
      </c>
      <c r="S94" s="30">
        <v>332592.16950478411</v>
      </c>
      <c r="T94" s="30">
        <v>2982454.2367472704</v>
      </c>
      <c r="U94" s="30">
        <v>25688.650176283427</v>
      </c>
      <c r="V94" s="30">
        <v>220.05569838774886</v>
      </c>
      <c r="W94" s="30">
        <v>11719.63428386753</v>
      </c>
      <c r="X94" s="30"/>
      <c r="Y94" s="30">
        <v>863.33393000900105</v>
      </c>
      <c r="Z94" s="30">
        <v>44616.391655313091</v>
      </c>
      <c r="AA94" s="30">
        <v>54521.059536431792</v>
      </c>
      <c r="AB94" s="30"/>
      <c r="AC94" s="30"/>
      <c r="AD94" s="9">
        <v>57.625957409999515</v>
      </c>
      <c r="AE94" s="30">
        <v>609.05525887756085</v>
      </c>
      <c r="AF94" s="30"/>
      <c r="AG94" s="30"/>
      <c r="AH94" s="30"/>
      <c r="AI94" s="30"/>
      <c r="AJ94" s="9">
        <v>29.67156540045519</v>
      </c>
      <c r="AK94" s="9"/>
      <c r="AL94" s="30">
        <v>10483.775705995089</v>
      </c>
      <c r="AM94" s="30">
        <v>2493.0780243471559</v>
      </c>
      <c r="AN94" s="30">
        <v>1122.6198906781331</v>
      </c>
      <c r="AO94" s="10"/>
      <c r="AP94" s="9">
        <v>13346.445646972123</v>
      </c>
      <c r="AQ94" s="9"/>
      <c r="AR94" s="9"/>
      <c r="AS94" s="9"/>
      <c r="AT94" s="9"/>
      <c r="AU94" s="9">
        <v>1505.8483268588564</v>
      </c>
      <c r="AV94" s="10"/>
      <c r="AW94" s="30">
        <f>1000*22.1574627135398</f>
        <v>22157.4627135398</v>
      </c>
      <c r="AX94" s="30">
        <v>489.79364306628071</v>
      </c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9"/>
      <c r="BS94" s="10"/>
      <c r="BT94" s="10"/>
      <c r="BU94" s="31">
        <v>75.541952035135168</v>
      </c>
      <c r="BV94" s="31"/>
      <c r="BW94" s="9">
        <f t="shared" si="30"/>
        <v>73.128497703695245</v>
      </c>
      <c r="BX94" s="9">
        <f t="shared" si="31"/>
        <v>26.835630527373954</v>
      </c>
      <c r="BY94" s="9">
        <f t="shared" si="32"/>
        <v>3.5871768930787182E-2</v>
      </c>
      <c r="BZ94" s="9">
        <f t="shared" si="33"/>
        <v>96.406081696871198</v>
      </c>
      <c r="CA94" s="9">
        <f t="shared" si="34"/>
        <v>2.0226700754197822</v>
      </c>
      <c r="CB94" s="9">
        <f t="shared" si="35"/>
        <v>1.5712482277090081</v>
      </c>
      <c r="CC94" s="9"/>
      <c r="CD94" s="8">
        <v>15.5</v>
      </c>
      <c r="CE94" s="9">
        <v>12.8</v>
      </c>
      <c r="CF94" s="132">
        <v>-30</v>
      </c>
      <c r="CG94" s="31"/>
      <c r="CH94" s="10">
        <v>43.77</v>
      </c>
      <c r="CI94" s="27">
        <v>54.01</v>
      </c>
      <c r="CJ94" s="27">
        <v>3.3999999999999998E-3</v>
      </c>
      <c r="CK94" s="27"/>
      <c r="CL94" s="27"/>
      <c r="CM94" s="27"/>
      <c r="CN94" s="27">
        <v>0.03</v>
      </c>
      <c r="CO94" s="27">
        <v>0.26</v>
      </c>
      <c r="CP94" s="10">
        <f>SUM(CH94:CO94)</f>
        <v>98.073400000000007</v>
      </c>
      <c r="CQ94" s="10"/>
      <c r="CR94" s="128"/>
      <c r="CS94" s="128">
        <v>-44.8</v>
      </c>
      <c r="CT94" s="128">
        <v>2.9</v>
      </c>
      <c r="CU94" s="137"/>
      <c r="CV94" s="137"/>
    </row>
    <row r="95" spans="1:100" x14ac:dyDescent="0.4">
      <c r="A95" s="26">
        <v>23</v>
      </c>
      <c r="B95" s="40" t="s">
        <v>241</v>
      </c>
      <c r="C95" s="69" t="s">
        <v>240</v>
      </c>
      <c r="D95" s="133" t="s">
        <v>432</v>
      </c>
      <c r="E95" s="76">
        <v>45.379219999999997</v>
      </c>
      <c r="F95" s="42">
        <v>36.619911999999999</v>
      </c>
      <c r="G95" s="30">
        <v>26.804834</v>
      </c>
      <c r="H95" s="41">
        <v>44029</v>
      </c>
      <c r="I95" s="9">
        <f t="shared" si="27"/>
        <v>11.156878592806867</v>
      </c>
      <c r="J95" s="8"/>
      <c r="K95" s="68">
        <f t="shared" si="28"/>
        <v>90.264947146700592</v>
      </c>
      <c r="L95" s="8">
        <v>265</v>
      </c>
      <c r="M95" s="8">
        <v>7.29</v>
      </c>
      <c r="N95" s="109" t="s">
        <v>66</v>
      </c>
      <c r="O95" s="110">
        <v>5718.75</v>
      </c>
      <c r="P95" s="30">
        <v>1455</v>
      </c>
      <c r="Q95" s="30">
        <f t="shared" si="29"/>
        <v>2.2488693552307102</v>
      </c>
      <c r="R95" s="30">
        <v>1327742.6075243438</v>
      </c>
      <c r="S95" s="30">
        <v>371350.51137342001</v>
      </c>
      <c r="T95" s="30">
        <v>3867012.3333473201</v>
      </c>
      <c r="U95" s="30">
        <v>26217.984601613185</v>
      </c>
      <c r="V95" s="9">
        <v>30.182857142857138</v>
      </c>
      <c r="W95" s="30">
        <v>12782.30554337035</v>
      </c>
      <c r="X95" s="30">
        <v>692.1458024236174</v>
      </c>
      <c r="Y95" s="30">
        <v>749.62311841023666</v>
      </c>
      <c r="Z95" s="30">
        <v>40943.508672937656</v>
      </c>
      <c r="AA95" s="30">
        <v>46705.896829765858</v>
      </c>
      <c r="AB95" s="9"/>
      <c r="AC95" s="9"/>
      <c r="AD95" s="9">
        <v>42.917142857142856</v>
      </c>
      <c r="AE95" s="30">
        <v>1067.0938675364735</v>
      </c>
      <c r="AF95" s="9"/>
      <c r="AG95" s="9"/>
      <c r="AH95" s="9"/>
      <c r="AI95" s="9"/>
      <c r="AJ95" s="9">
        <v>33.775714285714287</v>
      </c>
      <c r="AK95" s="9">
        <v>2.8111706558441565</v>
      </c>
      <c r="AL95" s="30">
        <v>10470.052619047619</v>
      </c>
      <c r="AM95" s="30">
        <v>2842.8722921026165</v>
      </c>
      <c r="AN95" s="30">
        <v>1179.5533837977455</v>
      </c>
      <c r="AO95" s="30"/>
      <c r="AP95" s="30">
        <v>9540.875</v>
      </c>
      <c r="AQ95" s="9"/>
      <c r="AR95" s="30">
        <v>1177.2425000000001</v>
      </c>
      <c r="AS95" s="30"/>
      <c r="AT95" s="30"/>
      <c r="AU95" s="30"/>
      <c r="AV95" s="30">
        <v>165.39714285714285</v>
      </c>
      <c r="AW95" s="30">
        <v>22243.447200000002</v>
      </c>
      <c r="AX95" s="30">
        <v>421.01428571428573</v>
      </c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9"/>
      <c r="BM95" s="9">
        <v>47.382857142857148</v>
      </c>
      <c r="BN95" s="9"/>
      <c r="BO95" s="9"/>
      <c r="BP95" s="9"/>
      <c r="BQ95" s="9"/>
      <c r="BR95" s="10"/>
      <c r="BS95" s="9"/>
      <c r="BT95" s="9"/>
      <c r="BU95" s="9">
        <v>37.946628571428576</v>
      </c>
      <c r="BV95" s="9"/>
      <c r="BW95" s="9">
        <f t="shared" si="30"/>
        <v>69.556369949893835</v>
      </c>
      <c r="BX95" s="9">
        <f t="shared" si="31"/>
        <v>30.408869341474716</v>
      </c>
      <c r="BY95" s="9">
        <f t="shared" si="32"/>
        <v>3.4760708631423665E-2</v>
      </c>
      <c r="BZ95" s="9">
        <f t="shared" si="33"/>
        <v>97.400277040277189</v>
      </c>
      <c r="CA95" s="9">
        <f t="shared" si="34"/>
        <v>1.350163830313341</v>
      </c>
      <c r="CB95" s="9">
        <f t="shared" si="35"/>
        <v>1.2495591294094528</v>
      </c>
      <c r="CC95" s="9"/>
      <c r="CD95" s="128">
        <v>17</v>
      </c>
      <c r="CE95" s="112">
        <v>0.7</v>
      </c>
      <c r="CF95" s="113">
        <v>-20</v>
      </c>
      <c r="CG95" s="9"/>
      <c r="CH95" s="8">
        <v>51.45</v>
      </c>
      <c r="CI95" s="10">
        <v>47.62</v>
      </c>
      <c r="CJ95" s="32">
        <v>4.5300000000000002E-3</v>
      </c>
      <c r="CK95" s="64">
        <v>1.12E-4</v>
      </c>
      <c r="CL95" s="8">
        <v>0.3402</v>
      </c>
      <c r="CM95" s="8">
        <v>9.5799999999999996E-2</v>
      </c>
      <c r="CN95" s="8"/>
      <c r="CO95" s="8">
        <v>0.438</v>
      </c>
      <c r="CP95" s="10">
        <f>SUM(CH95:CO95)</f>
        <v>99.948641999999992</v>
      </c>
      <c r="CQ95" s="30"/>
      <c r="CR95" s="9"/>
      <c r="CS95" s="63">
        <v>-44.1</v>
      </c>
      <c r="CT95" s="63">
        <v>5.4</v>
      </c>
      <c r="CU95" s="9"/>
      <c r="CV95" s="9"/>
    </row>
    <row r="96" spans="1:100" x14ac:dyDescent="0.4">
      <c r="A96" s="26">
        <v>23</v>
      </c>
      <c r="B96" s="44" t="s">
        <v>242</v>
      </c>
      <c r="C96" s="69" t="s">
        <v>243</v>
      </c>
      <c r="D96" s="133" t="s">
        <v>433</v>
      </c>
      <c r="E96" s="76">
        <v>45.377992999999996</v>
      </c>
      <c r="F96" s="42">
        <v>36.618391000000003</v>
      </c>
      <c r="G96" s="30">
        <v>22.757166000000002</v>
      </c>
      <c r="H96" s="41">
        <v>42995</v>
      </c>
      <c r="I96" s="9">
        <f t="shared" si="27"/>
        <v>10.547270046013237</v>
      </c>
      <c r="J96" s="8"/>
      <c r="K96" s="68">
        <f t="shared" si="28"/>
        <v>35.789639579503728</v>
      </c>
      <c r="L96" s="8"/>
      <c r="M96" s="8">
        <v>8.1999999999999993</v>
      </c>
      <c r="N96" s="8"/>
      <c r="O96" s="29">
        <v>3904</v>
      </c>
      <c r="P96" s="30">
        <v>3120</v>
      </c>
      <c r="Q96" s="30">
        <f t="shared" si="29"/>
        <v>342.10256750263585</v>
      </c>
      <c r="R96" s="30">
        <v>158161.67583921397</v>
      </c>
      <c r="S96" s="30">
        <v>303918.7030904821</v>
      </c>
      <c r="T96" s="30">
        <v>3111297.9125729087</v>
      </c>
      <c r="U96" s="30">
        <v>50978.288131591544</v>
      </c>
      <c r="V96" s="9">
        <v>34.226010000000009</v>
      </c>
      <c r="W96" s="30">
        <v>7877.0692585973948</v>
      </c>
      <c r="X96" s="30"/>
      <c r="Y96" s="30">
        <v>114034.18916754528</v>
      </c>
      <c r="Z96" s="30">
        <v>8365.1735325349546</v>
      </c>
      <c r="AA96" s="30">
        <v>10526.104273565612</v>
      </c>
      <c r="AB96" s="9"/>
      <c r="AC96" s="9"/>
      <c r="AD96" s="9">
        <v>47.690719999999999</v>
      </c>
      <c r="AE96" s="30"/>
      <c r="AF96" s="9">
        <v>2.4618310287470995</v>
      </c>
      <c r="AG96" s="9">
        <v>35.235126284582876</v>
      </c>
      <c r="AH96" s="9"/>
      <c r="AI96" s="9">
        <v>27.69</v>
      </c>
      <c r="AJ96" s="9"/>
      <c r="AK96" s="9">
        <v>3.4993145861567077</v>
      </c>
      <c r="AL96" s="30">
        <v>26056.653055555551</v>
      </c>
      <c r="AM96" s="30">
        <v>505.97199999999998</v>
      </c>
      <c r="AN96" s="30">
        <v>143.35775000000001</v>
      </c>
      <c r="AO96" s="30">
        <v>515.68115714285716</v>
      </c>
      <c r="AP96" s="30">
        <v>12650.353999999999</v>
      </c>
      <c r="AQ96" s="30"/>
      <c r="AR96" s="30">
        <v>57814.389916666667</v>
      </c>
      <c r="AS96" s="30"/>
      <c r="AT96" s="30"/>
      <c r="AU96" s="30">
        <v>695.375</v>
      </c>
      <c r="AV96" s="30">
        <v>539.16150000000005</v>
      </c>
      <c r="AW96" s="30">
        <v>2360.8910000000001</v>
      </c>
      <c r="AX96" s="9">
        <v>44.468000000000004</v>
      </c>
      <c r="AY96" s="9">
        <v>86.492064285714292</v>
      </c>
      <c r="AZ96" s="30">
        <v>191.36949999999999</v>
      </c>
      <c r="BA96" s="9">
        <v>24.351000000000003</v>
      </c>
      <c r="BB96" s="9">
        <v>89.92880000000001</v>
      </c>
      <c r="BC96" s="9">
        <v>49.292000000000002</v>
      </c>
      <c r="BD96" s="9"/>
      <c r="BE96" s="9">
        <v>21.187999999999999</v>
      </c>
      <c r="BF96" s="9"/>
      <c r="BG96" s="9">
        <v>41.140999999999998</v>
      </c>
      <c r="BH96" s="9">
        <v>15.363500000000002</v>
      </c>
      <c r="BI96" s="9">
        <v>47.385000000000005</v>
      </c>
      <c r="BJ96" s="9">
        <v>11.724</v>
      </c>
      <c r="BK96" s="9">
        <v>84.001000000000005</v>
      </c>
      <c r="BL96" s="9">
        <v>15.3475</v>
      </c>
      <c r="BM96" s="9">
        <v>95.606999999999985</v>
      </c>
      <c r="BN96" s="30"/>
      <c r="BO96" s="30"/>
      <c r="BP96" s="9">
        <v>56.381000000000007</v>
      </c>
      <c r="BQ96" s="9"/>
      <c r="BR96" s="10">
        <v>0.73599999999999999</v>
      </c>
      <c r="BS96" s="9"/>
      <c r="BT96" s="9">
        <v>33.284999999999997</v>
      </c>
      <c r="BU96" s="30">
        <v>12496.783530000001</v>
      </c>
      <c r="BV96" s="30"/>
      <c r="BW96" s="9">
        <f t="shared" si="30"/>
        <v>40.247911851190146</v>
      </c>
      <c r="BX96" s="9">
        <f t="shared" si="31"/>
        <v>55.270019795648437</v>
      </c>
      <c r="BY96" s="9">
        <f t="shared" si="32"/>
        <v>4.4820683531614298</v>
      </c>
      <c r="BZ96" s="9">
        <f t="shared" si="33"/>
        <v>96.628924696419105</v>
      </c>
      <c r="CA96" s="9">
        <f t="shared" si="34"/>
        <v>0.37520043721464769</v>
      </c>
      <c r="CB96" s="9">
        <f t="shared" si="35"/>
        <v>2.9958748663662518</v>
      </c>
      <c r="CC96" s="9"/>
      <c r="CD96" s="8">
        <v>16.399999999999999</v>
      </c>
      <c r="CE96" s="9">
        <v>11.2</v>
      </c>
      <c r="CF96" s="30">
        <v>-23.5</v>
      </c>
      <c r="CG96" s="30"/>
      <c r="CH96" s="10">
        <v>91.337000000000003</v>
      </c>
      <c r="CI96" s="10">
        <v>2.742</v>
      </c>
      <c r="CJ96" s="32">
        <v>1.0692E-2</v>
      </c>
      <c r="CK96" s="32">
        <v>1.9262999999999999E-3</v>
      </c>
      <c r="CL96" s="32"/>
      <c r="CM96" s="32"/>
      <c r="CN96" s="31">
        <v>3.8407999999999998E-2</v>
      </c>
      <c r="CO96" s="10">
        <v>0.88844999999999996</v>
      </c>
      <c r="CP96" s="10">
        <f>SUM(CH96:CO96)</f>
        <v>95.018476300000017</v>
      </c>
      <c r="CQ96" s="25"/>
      <c r="CR96" s="9"/>
      <c r="CS96" s="128">
        <v>-42.3</v>
      </c>
      <c r="CT96" s="112">
        <v>-17.2</v>
      </c>
      <c r="CU96" s="9"/>
      <c r="CV96" s="9"/>
    </row>
    <row r="97" spans="1:100" x14ac:dyDescent="0.4">
      <c r="A97" s="26">
        <v>23</v>
      </c>
      <c r="B97" s="44" t="s">
        <v>244</v>
      </c>
      <c r="C97" s="69" t="s">
        <v>243</v>
      </c>
      <c r="D97" s="133" t="s">
        <v>433</v>
      </c>
      <c r="E97" s="76">
        <v>45.378377</v>
      </c>
      <c r="F97" s="42">
        <v>36.619698999999997</v>
      </c>
      <c r="G97" s="30">
        <v>13.545563</v>
      </c>
      <c r="H97" s="41">
        <v>42995</v>
      </c>
      <c r="I97" s="9">
        <f t="shared" si="27"/>
        <v>9.8097346408671982</v>
      </c>
      <c r="J97" s="8"/>
      <c r="K97" s="68">
        <f t="shared" si="28"/>
        <v>59.863825816113774</v>
      </c>
      <c r="L97" s="8"/>
      <c r="M97" s="8">
        <v>8.1999999999999993</v>
      </c>
      <c r="N97" s="8"/>
      <c r="O97" s="29">
        <v>3904</v>
      </c>
      <c r="P97" s="30">
        <v>2659</v>
      </c>
      <c r="Q97" s="30">
        <f t="shared" si="29"/>
        <v>501.17717098495439</v>
      </c>
      <c r="R97" s="30">
        <v>761794.03275641939</v>
      </c>
      <c r="S97" s="30">
        <v>161951.89774426888</v>
      </c>
      <c r="T97" s="30">
        <v>2578388.1574256886</v>
      </c>
      <c r="U97" s="30">
        <v>110228.48932278329</v>
      </c>
      <c r="V97" s="9">
        <v>39.714010000000002</v>
      </c>
      <c r="W97" s="30">
        <v>17255.929913263302</v>
      </c>
      <c r="X97" s="30">
        <v>3550.6560107010837</v>
      </c>
      <c r="Y97" s="30">
        <v>167059.0569949848</v>
      </c>
      <c r="Z97" s="30">
        <v>28737.012448064594</v>
      </c>
      <c r="AA97" s="30">
        <v>28203.81068570814</v>
      </c>
      <c r="AB97" s="9">
        <v>21.974737504679368</v>
      </c>
      <c r="AC97" s="9"/>
      <c r="AD97" s="9">
        <v>20.583919999999999</v>
      </c>
      <c r="AE97" s="30"/>
      <c r="AF97" s="9"/>
      <c r="AG97" s="9">
        <v>6.4700440712780507</v>
      </c>
      <c r="AH97" s="9"/>
      <c r="AI97" s="9"/>
      <c r="AJ97" s="9">
        <v>13.0745</v>
      </c>
      <c r="AK97" s="9">
        <v>17.853904369289236</v>
      </c>
      <c r="AL97" s="30">
        <v>13137.653055555556</v>
      </c>
      <c r="AM97" s="30">
        <v>1856.1345920696908</v>
      </c>
      <c r="AN97" s="30">
        <v>473.92775</v>
      </c>
      <c r="AO97" s="9">
        <v>72.465083083723115</v>
      </c>
      <c r="AP97" s="30">
        <v>4358.3540000000003</v>
      </c>
      <c r="AQ97" s="30"/>
      <c r="AR97" s="30">
        <v>1156.5899166666666</v>
      </c>
      <c r="AS97" s="30"/>
      <c r="AT97" s="30"/>
      <c r="AU97" s="30">
        <v>752.97500000000014</v>
      </c>
      <c r="AV97" s="30">
        <v>292.80400000000003</v>
      </c>
      <c r="AW97" s="30">
        <v>4548.8909999999996</v>
      </c>
      <c r="AX97" s="9">
        <v>32.787999999999997</v>
      </c>
      <c r="AY97" s="9">
        <v>49.007207142857141</v>
      </c>
      <c r="AZ97" s="30">
        <v>128.40949999999998</v>
      </c>
      <c r="BA97" s="9">
        <v>19.170999999999999</v>
      </c>
      <c r="BB97" s="9">
        <v>59.773600000000002</v>
      </c>
      <c r="BC97" s="9">
        <v>33.15</v>
      </c>
      <c r="BD97" s="9"/>
      <c r="BE97" s="9"/>
      <c r="BF97" s="9"/>
      <c r="BG97" s="9">
        <v>18.881</v>
      </c>
      <c r="BH97" s="9"/>
      <c r="BI97" s="9">
        <v>12.8185</v>
      </c>
      <c r="BJ97" s="9"/>
      <c r="BK97" s="9">
        <v>13.39</v>
      </c>
      <c r="BL97" s="9"/>
      <c r="BM97" s="9">
        <v>52.626999999999995</v>
      </c>
      <c r="BN97" s="30"/>
      <c r="BO97" s="30">
        <v>653.428</v>
      </c>
      <c r="BP97" s="30"/>
      <c r="BQ97" s="9"/>
      <c r="BR97" s="10">
        <v>0.39599999999999991</v>
      </c>
      <c r="BS97" s="9"/>
      <c r="BT97" s="9"/>
      <c r="BU97" s="30">
        <v>457.17952999999994</v>
      </c>
      <c r="BV97" s="30"/>
      <c r="BW97" s="9">
        <f t="shared" si="30"/>
        <v>42.854483723162808</v>
      </c>
      <c r="BX97" s="9">
        <f t="shared" si="31"/>
        <v>50.154081082698021</v>
      </c>
      <c r="BY97" s="9">
        <f t="shared" si="32"/>
        <v>6.9914351941391635</v>
      </c>
      <c r="BZ97" s="9">
        <f t="shared" si="33"/>
        <v>91.453772008249871</v>
      </c>
      <c r="CA97" s="9">
        <f t="shared" si="34"/>
        <v>1.1481304483263448</v>
      </c>
      <c r="CB97" s="9">
        <f t="shared" si="35"/>
        <v>7.3980975434237877</v>
      </c>
      <c r="CC97" s="9"/>
      <c r="CD97" s="8">
        <v>13.1</v>
      </c>
      <c r="CE97" s="9">
        <v>-1</v>
      </c>
      <c r="CF97" s="30">
        <v>-44.4</v>
      </c>
      <c r="CG97" s="30"/>
      <c r="CH97" s="10">
        <v>90.471999999999994</v>
      </c>
      <c r="CI97" s="10">
        <v>2.7240000000000002</v>
      </c>
      <c r="CJ97" s="32">
        <v>8.1458999999999993E-3</v>
      </c>
      <c r="CK97" s="32">
        <v>5.3495000000000001E-3</v>
      </c>
      <c r="CL97" s="32"/>
      <c r="CM97" s="32"/>
      <c r="CN97" s="31">
        <v>4.9116E-2</v>
      </c>
      <c r="CO97" s="10">
        <v>1.0709</v>
      </c>
      <c r="CP97" s="10">
        <f>SUM(CH97:CO97)</f>
        <v>94.329511399999987</v>
      </c>
      <c r="CQ97" s="25"/>
      <c r="CR97" s="9"/>
      <c r="CS97" s="128">
        <v>-38.6</v>
      </c>
      <c r="CT97" s="112">
        <v>-9.1</v>
      </c>
      <c r="CU97" s="9"/>
      <c r="CV97" s="9"/>
    </row>
    <row r="98" spans="1:100" x14ac:dyDescent="0.4">
      <c r="A98" s="26">
        <v>23</v>
      </c>
      <c r="B98" s="44" t="s">
        <v>245</v>
      </c>
      <c r="C98" s="69" t="s">
        <v>246</v>
      </c>
      <c r="D98" s="133" t="s">
        <v>434</v>
      </c>
      <c r="E98" s="76">
        <v>45.377929999999999</v>
      </c>
      <c r="F98" s="42">
        <v>36.617919999999998</v>
      </c>
      <c r="G98" s="8">
        <v>15</v>
      </c>
      <c r="H98" s="41">
        <v>42995</v>
      </c>
      <c r="I98" s="9">
        <f t="shared" si="27"/>
        <v>9.2714689979598859</v>
      </c>
      <c r="J98" s="8"/>
      <c r="K98" s="68">
        <f t="shared" si="28"/>
        <v>47.581676381932198</v>
      </c>
      <c r="L98" s="8"/>
      <c r="M98" s="8">
        <v>7.9</v>
      </c>
      <c r="N98" s="8"/>
      <c r="O98" s="29">
        <v>1830</v>
      </c>
      <c r="P98" s="30">
        <v>2836</v>
      </c>
      <c r="Q98" s="30">
        <f t="shared" si="29"/>
        <v>283.61255992365653</v>
      </c>
      <c r="R98" s="30">
        <v>203325.02681194601</v>
      </c>
      <c r="S98" s="30">
        <v>307791.19532994495</v>
      </c>
      <c r="T98" s="30">
        <v>4281978.1119067892</v>
      </c>
      <c r="U98" s="30">
        <v>25201.89045019685</v>
      </c>
      <c r="V98" s="30">
        <v>103.27681</v>
      </c>
      <c r="W98" s="30">
        <v>4548.0538726408931</v>
      </c>
      <c r="X98" s="30"/>
      <c r="Y98" s="30">
        <v>94537.519974552182</v>
      </c>
      <c r="Z98" s="30">
        <v>9124.2450731941644</v>
      </c>
      <c r="AA98" s="30">
        <v>5552.1906060497331</v>
      </c>
      <c r="AB98" s="9">
        <v>5.4725015113567661</v>
      </c>
      <c r="AC98" s="9">
        <v>49.478999999999999</v>
      </c>
      <c r="AD98" s="9">
        <v>51.453920000000004</v>
      </c>
      <c r="AE98" s="30"/>
      <c r="AF98" s="9">
        <v>3.5088811232994956</v>
      </c>
      <c r="AG98" s="9">
        <v>61.876597988077968</v>
      </c>
      <c r="AH98" s="30">
        <v>197.57929999999999</v>
      </c>
      <c r="AI98" s="9">
        <v>31.75</v>
      </c>
      <c r="AJ98" s="9"/>
      <c r="AK98" s="9">
        <v>3.5951404174820083</v>
      </c>
      <c r="AL98" s="30">
        <v>22386.653055555551</v>
      </c>
      <c r="AM98" s="30">
        <v>305.27199999999999</v>
      </c>
      <c r="AN98" s="9">
        <v>89.487749999999991</v>
      </c>
      <c r="AO98" s="30">
        <v>406.21544285714293</v>
      </c>
      <c r="AP98" s="30">
        <v>48170.353999999999</v>
      </c>
      <c r="AQ98" s="30"/>
      <c r="AR98" s="30">
        <v>86434.389916666667</v>
      </c>
      <c r="AS98" s="30"/>
      <c r="AT98" s="30"/>
      <c r="AU98" s="30">
        <v>973.68000000000006</v>
      </c>
      <c r="AV98" s="30">
        <v>745.80399999999997</v>
      </c>
      <c r="AW98" s="30">
        <v>1812.2910000000002</v>
      </c>
      <c r="AX98" s="9">
        <v>31.387999999999998</v>
      </c>
      <c r="AY98" s="30">
        <v>149.57120714285713</v>
      </c>
      <c r="AZ98" s="30">
        <v>349.96950000000004</v>
      </c>
      <c r="BA98" s="9">
        <v>55.310999999999993</v>
      </c>
      <c r="BB98" s="30">
        <v>146.75360000000001</v>
      </c>
      <c r="BC98" s="9">
        <v>27.372</v>
      </c>
      <c r="BD98" s="9"/>
      <c r="BE98" s="9">
        <v>40.789500000000004</v>
      </c>
      <c r="BF98" s="9"/>
      <c r="BG98" s="9">
        <v>60.421999999999997</v>
      </c>
      <c r="BH98" s="9">
        <v>11.3835</v>
      </c>
      <c r="BI98" s="9">
        <v>44.498500000000007</v>
      </c>
      <c r="BJ98" s="9">
        <v>7.5839999999999996</v>
      </c>
      <c r="BK98" s="9">
        <v>45.99</v>
      </c>
      <c r="BL98" s="9">
        <v>14.147499999999999</v>
      </c>
      <c r="BM98" s="30">
        <v>467.03550000000001</v>
      </c>
      <c r="BN98" s="30"/>
      <c r="BO98" s="30">
        <v>167.02799999999999</v>
      </c>
      <c r="BP98" s="30">
        <v>123.38749999999999</v>
      </c>
      <c r="BQ98" s="9">
        <v>29.470360000000003</v>
      </c>
      <c r="BR98" s="9">
        <v>2.7159999999999993</v>
      </c>
      <c r="BS98" s="9">
        <v>20.046375000000005</v>
      </c>
      <c r="BT98" s="9">
        <v>47.50500000000001</v>
      </c>
      <c r="BU98" s="30">
        <v>35328.843529999998</v>
      </c>
      <c r="BV98" s="30"/>
      <c r="BW98" s="9">
        <f t="shared" si="30"/>
        <v>25.907648796334453</v>
      </c>
      <c r="BX98" s="9">
        <f t="shared" si="31"/>
        <v>68.989757733713148</v>
      </c>
      <c r="BY98" s="9">
        <f t="shared" si="32"/>
        <v>5.1025934699523985</v>
      </c>
      <c r="BZ98" s="9">
        <f t="shared" si="33"/>
        <v>98.753241279756864</v>
      </c>
      <c r="CA98" s="9">
        <f t="shared" si="34"/>
        <v>0.14696076423921911</v>
      </c>
      <c r="CB98" s="9">
        <f t="shared" si="35"/>
        <v>1.0997979560039275</v>
      </c>
      <c r="CC98" s="9"/>
      <c r="CD98" s="8"/>
      <c r="CE98" s="9"/>
      <c r="CF98" s="30"/>
      <c r="CG98" s="30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9"/>
      <c r="CS98" s="9"/>
      <c r="CT98" s="9"/>
      <c r="CU98" s="9"/>
      <c r="CV98" s="9"/>
    </row>
    <row r="99" spans="1:100" x14ac:dyDescent="0.4">
      <c r="A99" s="26">
        <v>23</v>
      </c>
      <c r="B99" s="40" t="s">
        <v>247</v>
      </c>
      <c r="C99" s="69" t="s">
        <v>248</v>
      </c>
      <c r="D99" s="26" t="s">
        <v>514</v>
      </c>
      <c r="E99" s="76">
        <v>45.378003999999997</v>
      </c>
      <c r="F99" s="42">
        <v>36.618568000000003</v>
      </c>
      <c r="G99" s="30">
        <v>19.947089999999999</v>
      </c>
      <c r="H99" s="41">
        <v>44027</v>
      </c>
      <c r="I99" s="8"/>
      <c r="J99" s="8"/>
      <c r="K99" s="68"/>
      <c r="L99" s="8"/>
      <c r="M99" s="8"/>
      <c r="N99" s="109"/>
      <c r="O99" s="110"/>
      <c r="P99" s="30"/>
      <c r="Q99" s="30"/>
      <c r="R99" s="30"/>
      <c r="S99" s="30"/>
      <c r="T99" s="30"/>
      <c r="U99" s="30"/>
      <c r="V99" s="9"/>
      <c r="W99" s="30"/>
      <c r="X99" s="30"/>
      <c r="Y99" s="30"/>
      <c r="Z99" s="30"/>
      <c r="AA99" s="30"/>
      <c r="AB99" s="9"/>
      <c r="AC99" s="9"/>
      <c r="AD99" s="9"/>
      <c r="AE99" s="30"/>
      <c r="AF99" s="9"/>
      <c r="AG99" s="9"/>
      <c r="AH99" s="9"/>
      <c r="AI99" s="9"/>
      <c r="AJ99" s="9"/>
      <c r="AK99" s="9"/>
      <c r="AL99" s="30"/>
      <c r="AM99" s="30"/>
      <c r="AN99" s="30"/>
      <c r="AO99" s="30"/>
      <c r="AP99" s="30"/>
      <c r="AQ99" s="9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9"/>
      <c r="BM99" s="9"/>
      <c r="BN99" s="9"/>
      <c r="BO99" s="9"/>
      <c r="BP99" s="9"/>
      <c r="BQ99" s="9"/>
      <c r="BR99" s="10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111"/>
      <c r="CE99" s="112"/>
      <c r="CF99" s="113"/>
      <c r="CG99" s="9"/>
      <c r="CH99" s="8">
        <v>94.41</v>
      </c>
      <c r="CI99" s="114">
        <v>2.8039999999999998</v>
      </c>
      <c r="CJ99" s="62">
        <v>4.4679999999999997E-3</v>
      </c>
      <c r="CK99" s="8"/>
      <c r="CL99" s="62"/>
      <c r="CM99" s="62">
        <v>8.5730000000000001E-2</v>
      </c>
      <c r="CN99" s="8"/>
      <c r="CO99" s="62">
        <v>2.46</v>
      </c>
      <c r="CP99" s="10">
        <f t="shared" ref="CP99:CP105" si="36">SUM(CH99:CO99)</f>
        <v>99.764197999999993</v>
      </c>
      <c r="CQ99" s="30"/>
      <c r="CR99" s="9"/>
      <c r="CS99" s="63">
        <v>-42.6</v>
      </c>
      <c r="CT99" s="63">
        <v>-29</v>
      </c>
      <c r="CU99" s="9"/>
      <c r="CV99" s="9"/>
    </row>
    <row r="100" spans="1:100" x14ac:dyDescent="0.4">
      <c r="A100" s="26">
        <v>24</v>
      </c>
      <c r="B100" s="40" t="s">
        <v>249</v>
      </c>
      <c r="C100" s="69" t="s">
        <v>250</v>
      </c>
      <c r="D100" s="26" t="s">
        <v>513</v>
      </c>
      <c r="E100" s="76">
        <v>45.375678000000001</v>
      </c>
      <c r="F100" s="42">
        <v>36.558819</v>
      </c>
      <c r="G100" s="30">
        <v>76.579650999999998</v>
      </c>
      <c r="H100" s="41">
        <v>42995</v>
      </c>
      <c r="I100" s="9"/>
      <c r="J100" s="8"/>
      <c r="K100" s="68"/>
      <c r="L100" s="8"/>
      <c r="M100" s="30"/>
      <c r="N100" s="8"/>
      <c r="O100" s="29"/>
      <c r="P100" s="30"/>
      <c r="Q100" s="30"/>
      <c r="R100" s="30"/>
      <c r="S100" s="30"/>
      <c r="T100" s="30"/>
      <c r="U100" s="30"/>
      <c r="V100" s="9"/>
      <c r="W100" s="30"/>
      <c r="X100" s="30"/>
      <c r="Y100" s="30"/>
      <c r="Z100" s="30"/>
      <c r="AA100" s="30"/>
      <c r="AB100" s="9"/>
      <c r="AC100" s="9"/>
      <c r="AD100" s="9"/>
      <c r="AE100" s="30"/>
      <c r="AF100" s="9"/>
      <c r="AG100" s="9"/>
      <c r="AH100" s="9"/>
      <c r="AI100" s="9"/>
      <c r="AJ100" s="9"/>
      <c r="AK100" s="9"/>
      <c r="AL100" s="30"/>
      <c r="AM100" s="30"/>
      <c r="AN100" s="30"/>
      <c r="AO100" s="9"/>
      <c r="AP100" s="30"/>
      <c r="AQ100" s="30"/>
      <c r="AR100" s="30"/>
      <c r="AS100" s="30"/>
      <c r="AT100" s="30"/>
      <c r="AU100" s="30"/>
      <c r="AV100" s="30"/>
      <c r="AW100" s="30"/>
      <c r="AX100" s="9"/>
      <c r="AY100" s="9"/>
      <c r="AZ100" s="30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30"/>
      <c r="BO100" s="30"/>
      <c r="BP100" s="30"/>
      <c r="BQ100" s="9"/>
      <c r="BR100" s="10"/>
      <c r="BS100" s="9"/>
      <c r="BT100" s="9"/>
      <c r="BU100" s="30"/>
      <c r="BV100" s="30"/>
      <c r="BW100" s="9"/>
      <c r="BX100" s="9"/>
      <c r="BY100" s="9"/>
      <c r="BZ100" s="9"/>
      <c r="CA100" s="9"/>
      <c r="CB100" s="9"/>
      <c r="CC100" s="9"/>
      <c r="CD100" s="8"/>
      <c r="CE100" s="9"/>
      <c r="CF100" s="30"/>
      <c r="CG100" s="30"/>
      <c r="CH100" s="10">
        <v>71.938000000000002</v>
      </c>
      <c r="CI100" s="10">
        <v>0.35105999999999998</v>
      </c>
      <c r="CJ100" s="32">
        <v>1.9264E-3</v>
      </c>
      <c r="CK100" s="32">
        <v>6.8129000000000002E-3</v>
      </c>
      <c r="CL100" s="32"/>
      <c r="CM100" s="32"/>
      <c r="CN100" s="31">
        <v>4.4490000000000002E-2</v>
      </c>
      <c r="CO100" s="10">
        <v>12.663</v>
      </c>
      <c r="CP100" s="10">
        <f t="shared" si="36"/>
        <v>85.005289300000001</v>
      </c>
      <c r="CQ100" s="25"/>
      <c r="CR100" s="63"/>
      <c r="CS100" s="63"/>
      <c r="CT100" s="9"/>
      <c r="CU100" s="9"/>
      <c r="CV100" s="9"/>
    </row>
    <row r="101" spans="1:100" x14ac:dyDescent="0.4">
      <c r="A101" s="26">
        <v>25</v>
      </c>
      <c r="B101" s="40" t="s">
        <v>251</v>
      </c>
      <c r="C101" s="74" t="s">
        <v>252</v>
      </c>
      <c r="D101" s="133" t="s">
        <v>435</v>
      </c>
      <c r="E101" s="76">
        <v>45.424548999999999</v>
      </c>
      <c r="F101" s="42">
        <v>36.485453</v>
      </c>
      <c r="G101" s="46">
        <v>62.140900000000002</v>
      </c>
      <c r="H101" s="41">
        <v>44032</v>
      </c>
      <c r="I101" s="9">
        <f t="shared" ref="I101:I110" si="37">(O101+P101+Z101/1000+AA101/1000+T101/1000+U101/1000+Y101/1000/32*96)/1000</f>
        <v>12.675288960603595</v>
      </c>
      <c r="J101" s="8">
        <v>19</v>
      </c>
      <c r="K101" s="68">
        <f t="shared" ref="K101:K119" si="38">2200/(LOG(((U101/1000)^0.5)/(R101/1000000))+5.47)-273</f>
        <v>100.01686536332107</v>
      </c>
      <c r="L101" s="8">
        <v>127</v>
      </c>
      <c r="M101" s="10">
        <v>7.62</v>
      </c>
      <c r="N101" s="10">
        <v>0.3</v>
      </c>
      <c r="O101" s="29">
        <v>5124</v>
      </c>
      <c r="P101" s="30">
        <v>3475</v>
      </c>
      <c r="Q101" s="30">
        <f>Y101/32*96/1000</f>
        <v>4.3782686681027299</v>
      </c>
      <c r="R101" s="30">
        <v>2166630.0280598784</v>
      </c>
      <c r="S101" s="30">
        <v>415747.1579562496</v>
      </c>
      <c r="T101" s="30">
        <v>3907373.8753750795</v>
      </c>
      <c r="U101" s="30">
        <v>33673.077978971443</v>
      </c>
      <c r="V101" s="30">
        <v>177.82639752650016</v>
      </c>
      <c r="W101" s="30">
        <v>23456.885277356785</v>
      </c>
      <c r="X101" s="30"/>
      <c r="Y101" s="30">
        <v>1459.4228893675765</v>
      </c>
      <c r="Z101" s="30">
        <v>78768.722541154726</v>
      </c>
      <c r="AA101" s="30">
        <v>52095.016040284259</v>
      </c>
      <c r="AB101" s="30"/>
      <c r="AC101" s="30"/>
      <c r="AD101" s="9">
        <v>3.3192868033203453</v>
      </c>
      <c r="AE101" s="30"/>
      <c r="AF101" s="30"/>
      <c r="AG101" s="30"/>
      <c r="AH101" s="30"/>
      <c r="AI101" s="30"/>
      <c r="AJ101" s="9">
        <v>4.7122748503402399</v>
      </c>
      <c r="AK101" s="9">
        <v>53.219856085173525</v>
      </c>
      <c r="AL101" s="30">
        <v>15737.797586963265</v>
      </c>
      <c r="AM101" s="30">
        <v>9458.8517956855048</v>
      </c>
      <c r="AN101" s="30">
        <v>2569.9232940869465</v>
      </c>
      <c r="AO101" s="10"/>
      <c r="AP101" s="9">
        <f>1000*3.20363325053737</f>
        <v>3203.6332505373698</v>
      </c>
      <c r="AQ101" s="9"/>
      <c r="AR101" s="9">
        <v>4399.5878443934516</v>
      </c>
      <c r="AS101" s="9"/>
      <c r="AT101" s="9"/>
      <c r="AU101" s="9">
        <v>1662.5229723971891</v>
      </c>
      <c r="AV101" s="10">
        <v>973.94820155280968</v>
      </c>
      <c r="AW101" s="30">
        <f>39.3970102792879*1000</f>
        <v>39397.010279287897</v>
      </c>
      <c r="AX101" s="30">
        <v>551.07805190863405</v>
      </c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9"/>
      <c r="BS101" s="10"/>
      <c r="BT101" s="10"/>
      <c r="BU101" s="10">
        <v>229.05411950175014</v>
      </c>
      <c r="BV101" s="10"/>
      <c r="BW101" s="9">
        <f t="shared" ref="BW101:BW117" si="39">O101/61/(O101/61+P101/35.5+Q101/96*2)*100</f>
        <v>46.159289431178138</v>
      </c>
      <c r="BX101" s="9">
        <f t="shared" ref="BX101:BX117" si="40">P101/35.5/(O101/61+P101/35.5+Q101/96*2)*100</f>
        <v>53.790587113797464</v>
      </c>
      <c r="BY101" s="9">
        <f t="shared" ref="BY101:BY117" si="41">Q101/96*2/(O101/61+P101/35.5+Q101/96*2)*100</f>
        <v>5.0123455024407917E-2</v>
      </c>
      <c r="BZ101" s="9">
        <f t="shared" ref="BZ101:BZ119" si="42">T101/23/(T101/23+U101/24.31*2+AA101/40.08*2)*100</f>
        <v>96.935986080206476</v>
      </c>
      <c r="CA101" s="9">
        <f t="shared" ref="CA101:CA119" si="43">AA101/40.08*2/(T101/23+U101/24.31*2+AA101/40.08*2)*100</f>
        <v>1.4832909908570338</v>
      </c>
      <c r="CB101" s="9">
        <f t="shared" ref="CB101:CB119" si="44">U101/24.31*2/(T101/23+U101/24.31*2+AA101/40.08*2)*100</f>
        <v>1.5807229289364919</v>
      </c>
      <c r="CC101" s="9"/>
      <c r="CD101" s="10"/>
      <c r="CE101" s="9"/>
      <c r="CF101" s="132"/>
      <c r="CG101" s="10"/>
      <c r="CH101" s="10">
        <v>88.79</v>
      </c>
      <c r="CI101" s="27">
        <v>9.69</v>
      </c>
      <c r="CJ101" s="27">
        <v>1E-3</v>
      </c>
      <c r="CK101" s="27">
        <v>8.0999999999999996E-4</v>
      </c>
      <c r="CL101" s="27"/>
      <c r="CM101" s="27"/>
      <c r="CN101" s="27">
        <v>4.1000000000000002E-2</v>
      </c>
      <c r="CO101" s="27">
        <v>0.69</v>
      </c>
      <c r="CP101" s="10">
        <f t="shared" si="36"/>
        <v>99.212810000000005</v>
      </c>
      <c r="CQ101" s="10"/>
      <c r="CR101" s="128">
        <v>-2.5</v>
      </c>
      <c r="CS101" s="128">
        <v>-39.799999999999997</v>
      </c>
      <c r="CT101" s="128">
        <v>-7.1</v>
      </c>
      <c r="CU101" s="137"/>
      <c r="CV101" s="137"/>
    </row>
    <row r="102" spans="1:100" x14ac:dyDescent="0.4">
      <c r="A102" s="26">
        <v>25</v>
      </c>
      <c r="B102" s="44" t="s">
        <v>253</v>
      </c>
      <c r="C102" s="74" t="s">
        <v>254</v>
      </c>
      <c r="D102" s="133" t="s">
        <v>436</v>
      </c>
      <c r="E102" s="76">
        <v>45.424514000000002</v>
      </c>
      <c r="F102" s="42">
        <v>36.485539000000003</v>
      </c>
      <c r="G102" s="30">
        <v>53.684058999999998</v>
      </c>
      <c r="H102" s="41">
        <v>42987</v>
      </c>
      <c r="I102" s="9">
        <f t="shared" si="37"/>
        <v>17.416527992446756</v>
      </c>
      <c r="J102" s="8"/>
      <c r="K102" s="68">
        <f t="shared" si="38"/>
        <v>117.40649295700132</v>
      </c>
      <c r="L102" s="8"/>
      <c r="M102" s="8">
        <v>8.1999999999999993</v>
      </c>
      <c r="N102" s="8"/>
      <c r="O102" s="29">
        <v>6710</v>
      </c>
      <c r="P102" s="30">
        <v>5319</v>
      </c>
      <c r="Q102" s="30"/>
      <c r="R102" s="30">
        <v>3261407.1413291702</v>
      </c>
      <c r="S102" s="30">
        <v>656395.16939116991</v>
      </c>
      <c r="T102" s="30">
        <v>5306031.4242218202</v>
      </c>
      <c r="U102" s="30">
        <v>22756.967867102787</v>
      </c>
      <c r="V102" s="9">
        <v>75.704020000000014</v>
      </c>
      <c r="W102" s="30">
        <v>29889.116506123864</v>
      </c>
      <c r="X102" s="30">
        <v>16297.937433271567</v>
      </c>
      <c r="Y102" s="30"/>
      <c r="Z102" s="30">
        <v>45139.112360417013</v>
      </c>
      <c r="AA102" s="30">
        <v>13600.487997416483</v>
      </c>
      <c r="AB102" s="9"/>
      <c r="AC102" s="9"/>
      <c r="AD102" s="9">
        <v>4.1630399999999996</v>
      </c>
      <c r="AE102" s="30"/>
      <c r="AF102" s="9"/>
      <c r="AG102" s="9"/>
      <c r="AH102" s="9"/>
      <c r="AI102" s="9">
        <v>45.820000000000007</v>
      </c>
      <c r="AJ102" s="9">
        <v>6.1890000000000001</v>
      </c>
      <c r="AK102" s="9">
        <v>91.558210955445944</v>
      </c>
      <c r="AL102" s="30">
        <v>22041.306111111109</v>
      </c>
      <c r="AM102" s="30">
        <v>5971.4761531991589</v>
      </c>
      <c r="AN102" s="30">
        <v>1056.6554999999998</v>
      </c>
      <c r="AO102" s="30"/>
      <c r="AP102" s="30">
        <v>3344.3519999999999</v>
      </c>
      <c r="AQ102" s="30"/>
      <c r="AR102" s="30">
        <v>4376.779833333333</v>
      </c>
      <c r="AS102" s="30"/>
      <c r="AT102" s="30"/>
      <c r="AU102" s="30">
        <v>985.95000000000016</v>
      </c>
      <c r="AV102" s="30">
        <v>153.48800000000003</v>
      </c>
      <c r="AW102" s="30">
        <v>10977.781999999999</v>
      </c>
      <c r="AX102" s="9">
        <v>93.616000000000014</v>
      </c>
      <c r="AY102" s="30"/>
      <c r="AZ102" s="30"/>
      <c r="BA102" s="9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9"/>
      <c r="BR102" s="10">
        <v>0.87199999999999989</v>
      </c>
      <c r="BS102" s="9"/>
      <c r="BT102" s="9"/>
      <c r="BU102" s="30">
        <v>263.19186000000002</v>
      </c>
      <c r="BV102" s="30"/>
      <c r="BW102" s="9">
        <f t="shared" si="39"/>
        <v>42.335212489158714</v>
      </c>
      <c r="BX102" s="9">
        <f t="shared" si="40"/>
        <v>57.664787510841279</v>
      </c>
      <c r="BY102" s="9">
        <f t="shared" si="41"/>
        <v>0</v>
      </c>
      <c r="BZ102" s="9">
        <f t="shared" si="42"/>
        <v>98.906357617697509</v>
      </c>
      <c r="CA102" s="9">
        <f t="shared" si="43"/>
        <v>0.29096382762111367</v>
      </c>
      <c r="CB102" s="9">
        <f t="shared" si="44"/>
        <v>0.80267855468137672</v>
      </c>
      <c r="CC102" s="9"/>
      <c r="CD102" s="8">
        <v>10</v>
      </c>
      <c r="CE102" s="9">
        <v>10.8</v>
      </c>
      <c r="CF102" s="30">
        <v>-20.2</v>
      </c>
      <c r="CG102" s="30"/>
      <c r="CH102" s="10">
        <v>89.647000000000006</v>
      </c>
      <c r="CI102" s="10">
        <v>4.0545999999999998</v>
      </c>
      <c r="CJ102" s="31">
        <v>1.3053E-2</v>
      </c>
      <c r="CK102" s="32">
        <v>1.9219E-3</v>
      </c>
      <c r="CL102" s="8"/>
      <c r="CM102" s="32"/>
      <c r="CN102" s="31"/>
      <c r="CO102" s="10">
        <v>0.95072000000000001</v>
      </c>
      <c r="CP102" s="10">
        <f t="shared" si="36"/>
        <v>94.667294900000002</v>
      </c>
      <c r="CQ102" s="25"/>
      <c r="CR102" s="9"/>
      <c r="CS102" s="128">
        <v>-40.4</v>
      </c>
      <c r="CT102" s="112">
        <v>-9.3000000000000007</v>
      </c>
      <c r="CU102" s="9"/>
      <c r="CV102" s="9"/>
    </row>
    <row r="103" spans="1:100" x14ac:dyDescent="0.4">
      <c r="A103" s="26">
        <v>25</v>
      </c>
      <c r="B103" s="44" t="s">
        <v>255</v>
      </c>
      <c r="C103" s="74" t="s">
        <v>256</v>
      </c>
      <c r="D103" s="133" t="s">
        <v>437</v>
      </c>
      <c r="E103" s="76">
        <v>45.424556000000003</v>
      </c>
      <c r="F103" s="42">
        <v>36.485477000000003</v>
      </c>
      <c r="G103" s="30">
        <v>53.187247999999997</v>
      </c>
      <c r="H103" s="41">
        <v>42987</v>
      </c>
      <c r="I103" s="9">
        <f t="shared" si="37"/>
        <v>13.478445769884379</v>
      </c>
      <c r="J103" s="8"/>
      <c r="K103" s="68">
        <f t="shared" si="38"/>
        <v>106.09223328718087</v>
      </c>
      <c r="L103" s="8"/>
      <c r="M103" s="8">
        <v>8</v>
      </c>
      <c r="N103" s="8"/>
      <c r="O103" s="29">
        <v>5856</v>
      </c>
      <c r="P103" s="30">
        <v>3368</v>
      </c>
      <c r="Q103" s="30"/>
      <c r="R103" s="30">
        <v>2762090.8596675964</v>
      </c>
      <c r="S103" s="30">
        <v>432870.37127924553</v>
      </c>
      <c r="T103" s="30">
        <v>4097330.1571473945</v>
      </c>
      <c r="U103" s="30">
        <v>35411.963394779566</v>
      </c>
      <c r="V103" s="9">
        <v>40.831209999999999</v>
      </c>
      <c r="W103" s="30">
        <v>28800.78455302271</v>
      </c>
      <c r="X103" s="30"/>
      <c r="Y103" s="30"/>
      <c r="Z103" s="30">
        <v>65808.42525809689</v>
      </c>
      <c r="AA103" s="30">
        <v>55895.224084107795</v>
      </c>
      <c r="AB103" s="9"/>
      <c r="AC103" s="9"/>
      <c r="AD103" s="9">
        <v>3.0223200000000001</v>
      </c>
      <c r="AE103" s="30">
        <v>655.70215396093909</v>
      </c>
      <c r="AF103" s="30"/>
      <c r="AG103" s="9"/>
      <c r="AH103" s="9"/>
      <c r="AI103" s="9">
        <v>46.97</v>
      </c>
      <c r="AJ103" s="9">
        <v>4.3345000000000002</v>
      </c>
      <c r="AK103" s="9">
        <v>98.246896128325375</v>
      </c>
      <c r="AL103" s="30">
        <v>17274.653055555555</v>
      </c>
      <c r="AM103" s="30">
        <v>11265.244818263745</v>
      </c>
      <c r="AN103" s="30">
        <v>2738.7630530973452</v>
      </c>
      <c r="AO103" s="30"/>
      <c r="AP103" s="30">
        <v>2962.3539999999998</v>
      </c>
      <c r="AQ103" s="30"/>
      <c r="AR103" s="30">
        <v>6934.389916666667</v>
      </c>
      <c r="AS103" s="30"/>
      <c r="AT103" s="30">
        <v>960.81741810442236</v>
      </c>
      <c r="AU103" s="30">
        <v>753.88000000000022</v>
      </c>
      <c r="AV103" s="30">
        <v>298.9615</v>
      </c>
      <c r="AW103" s="30">
        <v>30894.890999999996</v>
      </c>
      <c r="AX103" s="30">
        <v>256.548</v>
      </c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9"/>
      <c r="BN103" s="30"/>
      <c r="BO103" s="30"/>
      <c r="BP103" s="30"/>
      <c r="BQ103" s="30"/>
      <c r="BR103" s="10"/>
      <c r="BS103" s="9"/>
      <c r="BT103" s="9"/>
      <c r="BU103" s="30">
        <v>183.83313000000001</v>
      </c>
      <c r="BV103" s="30"/>
      <c r="BW103" s="9">
        <f t="shared" si="39"/>
        <v>50.295159386068477</v>
      </c>
      <c r="BX103" s="9">
        <f t="shared" si="40"/>
        <v>49.704840613931523</v>
      </c>
      <c r="BY103" s="9">
        <f t="shared" si="41"/>
        <v>0</v>
      </c>
      <c r="BZ103" s="9">
        <f t="shared" si="42"/>
        <v>96.898215190296284</v>
      </c>
      <c r="CA103" s="9">
        <f t="shared" si="43"/>
        <v>1.517118966771801</v>
      </c>
      <c r="CB103" s="9">
        <f t="shared" si="44"/>
        <v>1.5846658429319247</v>
      </c>
      <c r="CC103" s="9"/>
      <c r="CD103" s="8">
        <v>11</v>
      </c>
      <c r="CE103" s="9">
        <v>12.5</v>
      </c>
      <c r="CF103" s="30">
        <v>-20</v>
      </c>
      <c r="CG103" s="30"/>
      <c r="CH103" s="10">
        <v>83.430999999999997</v>
      </c>
      <c r="CI103" s="10">
        <v>11.462</v>
      </c>
      <c r="CJ103" s="31">
        <v>1.1649E-2</v>
      </c>
      <c r="CK103" s="32">
        <v>1.8892E-3</v>
      </c>
      <c r="CL103" s="8"/>
      <c r="CM103" s="32"/>
      <c r="CN103" s="31"/>
      <c r="CO103" s="10">
        <v>1.0601</v>
      </c>
      <c r="CP103" s="10">
        <f t="shared" si="36"/>
        <v>95.966638200000006</v>
      </c>
      <c r="CQ103" s="25"/>
      <c r="CR103" s="9"/>
      <c r="CS103" s="128">
        <v>-40.299999999999997</v>
      </c>
      <c r="CT103" s="112">
        <v>-2.2999999999999998</v>
      </c>
      <c r="CU103" s="9"/>
      <c r="CV103" s="9"/>
    </row>
    <row r="104" spans="1:100" x14ac:dyDescent="0.4">
      <c r="A104" s="26">
        <v>25</v>
      </c>
      <c r="B104" s="44" t="s">
        <v>257</v>
      </c>
      <c r="C104" s="74" t="s">
        <v>258</v>
      </c>
      <c r="D104" s="133" t="s">
        <v>438</v>
      </c>
      <c r="E104" s="76">
        <v>45.424670999999996</v>
      </c>
      <c r="F104" s="42">
        <v>36.485536000000003</v>
      </c>
      <c r="G104" s="30">
        <v>53.230426999999999</v>
      </c>
      <c r="H104" s="41">
        <v>42987</v>
      </c>
      <c r="I104" s="9">
        <f t="shared" si="37"/>
        <v>13.05241988659701</v>
      </c>
      <c r="J104" s="8"/>
      <c r="K104" s="68">
        <f t="shared" si="38"/>
        <v>104.43937414085224</v>
      </c>
      <c r="L104" s="8"/>
      <c r="M104" s="8">
        <v>8</v>
      </c>
      <c r="N104" s="8"/>
      <c r="O104" s="29">
        <v>5856</v>
      </c>
      <c r="P104" s="30">
        <v>3191</v>
      </c>
      <c r="Q104" s="30"/>
      <c r="R104" s="30">
        <v>2619429.0649071466</v>
      </c>
      <c r="S104" s="30">
        <v>413346.19624334847</v>
      </c>
      <c r="T104" s="30">
        <v>3855142.0697110477</v>
      </c>
      <c r="U104" s="30">
        <v>35802.602616288903</v>
      </c>
      <c r="V104" s="9">
        <v>41.850409999999997</v>
      </c>
      <c r="W104" s="30">
        <v>28373.987708669305</v>
      </c>
      <c r="X104" s="30"/>
      <c r="Y104" s="30"/>
      <c r="Z104" s="30">
        <v>64300.539900300872</v>
      </c>
      <c r="AA104" s="30">
        <v>50174.674369370987</v>
      </c>
      <c r="AB104" s="9"/>
      <c r="AC104" s="9"/>
      <c r="AD104" s="9">
        <v>2.1403199999999996</v>
      </c>
      <c r="AE104" s="30"/>
      <c r="AF104" s="30"/>
      <c r="AG104" s="9"/>
      <c r="AH104" s="9"/>
      <c r="AI104" s="9"/>
      <c r="AJ104" s="9">
        <v>4.5945</v>
      </c>
      <c r="AK104" s="9">
        <v>68.443169574108509</v>
      </c>
      <c r="AL104" s="30">
        <v>16774.653055555555</v>
      </c>
      <c r="AM104" s="30">
        <v>10111.144487834186</v>
      </c>
      <c r="AN104" s="30">
        <v>2579.1878318584072</v>
      </c>
      <c r="AO104" s="30"/>
      <c r="AP104" s="30">
        <v>2984.3539999999994</v>
      </c>
      <c r="AQ104" s="30"/>
      <c r="AR104" s="30">
        <v>4754.389916666667</v>
      </c>
      <c r="AS104" s="30"/>
      <c r="AT104" s="30"/>
      <c r="AU104" s="30">
        <v>690.375</v>
      </c>
      <c r="AV104" s="30">
        <v>414.36150000000004</v>
      </c>
      <c r="AW104" s="30">
        <v>39134.890999999996</v>
      </c>
      <c r="AX104" s="30">
        <v>310.74799999999999</v>
      </c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9"/>
      <c r="BN104" s="30"/>
      <c r="BO104" s="30"/>
      <c r="BP104" s="30"/>
      <c r="BQ104" s="30"/>
      <c r="BR104" s="10">
        <v>0.31599999999999989</v>
      </c>
      <c r="BS104" s="9"/>
      <c r="BT104" s="9"/>
      <c r="BU104" s="30">
        <v>167.02673000000001</v>
      </c>
      <c r="BV104" s="30"/>
      <c r="BW104" s="9">
        <f t="shared" si="39"/>
        <v>51.644188513411123</v>
      </c>
      <c r="BX104" s="9">
        <f t="shared" si="40"/>
        <v>48.355811486588877</v>
      </c>
      <c r="BY104" s="9">
        <f t="shared" si="41"/>
        <v>0</v>
      </c>
      <c r="BZ104" s="9">
        <f t="shared" si="42"/>
        <v>96.851322547516205</v>
      </c>
      <c r="CA104" s="9">
        <f t="shared" si="43"/>
        <v>1.4467045578777384</v>
      </c>
      <c r="CB104" s="9">
        <f t="shared" si="44"/>
        <v>1.7019728946060502</v>
      </c>
      <c r="CC104" s="9"/>
      <c r="CD104" s="8">
        <v>12.8</v>
      </c>
      <c r="CE104" s="9">
        <v>11.8</v>
      </c>
      <c r="CF104" s="30">
        <v>-22.5</v>
      </c>
      <c r="CG104" s="30"/>
      <c r="CH104" s="10">
        <v>84.698999999999998</v>
      </c>
      <c r="CI104" s="10">
        <v>10.256</v>
      </c>
      <c r="CJ104" s="31">
        <v>1.1421000000000001E-2</v>
      </c>
      <c r="CK104" s="32"/>
      <c r="CL104" s="32"/>
      <c r="CM104" s="32"/>
      <c r="CN104" s="31">
        <v>2.9123E-2</v>
      </c>
      <c r="CO104" s="10">
        <v>0.88092999999999999</v>
      </c>
      <c r="CP104" s="10">
        <f t="shared" si="36"/>
        <v>95.876474000000002</v>
      </c>
      <c r="CQ104" s="25"/>
      <c r="CR104" s="9"/>
      <c r="CS104" s="128">
        <v>-38.4</v>
      </c>
      <c r="CT104" s="112">
        <v>-0.3</v>
      </c>
      <c r="CU104" s="9"/>
      <c r="CV104" s="9"/>
    </row>
    <row r="105" spans="1:100" x14ac:dyDescent="0.4">
      <c r="A105" s="26">
        <v>25</v>
      </c>
      <c r="B105" s="44" t="s">
        <v>259</v>
      </c>
      <c r="C105" s="74" t="s">
        <v>260</v>
      </c>
      <c r="D105" s="133" t="s">
        <v>439</v>
      </c>
      <c r="E105" s="76">
        <v>45.424588999999997</v>
      </c>
      <c r="F105" s="42">
        <v>36.485627999999998</v>
      </c>
      <c r="G105" s="30">
        <v>52.993243999999997</v>
      </c>
      <c r="H105" s="41">
        <v>42987</v>
      </c>
      <c r="I105" s="9">
        <f t="shared" si="37"/>
        <v>18.685075396891733</v>
      </c>
      <c r="J105" s="8"/>
      <c r="K105" s="68">
        <f t="shared" si="38"/>
        <v>116.59402380774833</v>
      </c>
      <c r="L105" s="8"/>
      <c r="M105" s="8">
        <v>8.1</v>
      </c>
      <c r="N105" s="8"/>
      <c r="O105" s="29">
        <v>7320</v>
      </c>
      <c r="P105" s="30">
        <v>4964</v>
      </c>
      <c r="Q105" s="30">
        <f>Y105/32*96/1000</f>
        <v>46.562123200618672</v>
      </c>
      <c r="R105" s="30">
        <v>4057935.4954083473</v>
      </c>
      <c r="S105" s="30">
        <v>643601.67509290448</v>
      </c>
      <c r="T105" s="30">
        <v>6217598.0514535438</v>
      </c>
      <c r="U105" s="30">
        <v>37189.300913329796</v>
      </c>
      <c r="V105" s="30">
        <v>135.09201999999999</v>
      </c>
      <c r="W105" s="30">
        <v>27723.122521030382</v>
      </c>
      <c r="X105" s="30"/>
      <c r="Y105" s="30">
        <v>15520.707733539557</v>
      </c>
      <c r="Z105" s="30">
        <v>80877.021112534436</v>
      </c>
      <c r="AA105" s="30">
        <v>18848.900211704764</v>
      </c>
      <c r="AB105" s="9"/>
      <c r="AC105" s="9"/>
      <c r="AD105" s="9">
        <v>8.0046400000000002</v>
      </c>
      <c r="AE105" s="30"/>
      <c r="AF105" s="9"/>
      <c r="AG105" s="9"/>
      <c r="AH105" s="9"/>
      <c r="AI105" s="9">
        <v>25.459999999999997</v>
      </c>
      <c r="AJ105" s="9">
        <v>8.2289999999999992</v>
      </c>
      <c r="AK105" s="9">
        <v>15.649387533759196</v>
      </c>
      <c r="AL105" s="30">
        <v>29035.306111111113</v>
      </c>
      <c r="AM105" s="30">
        <v>7257.1258978672286</v>
      </c>
      <c r="AN105" s="30">
        <v>1213.6555000000001</v>
      </c>
      <c r="AO105" s="30"/>
      <c r="AP105" s="30">
        <v>12191.152</v>
      </c>
      <c r="AQ105" s="30"/>
      <c r="AR105" s="30">
        <v>3570.3798333333334</v>
      </c>
      <c r="AS105" s="30"/>
      <c r="AT105" s="30"/>
      <c r="AU105" s="30">
        <v>1291.7600000000002</v>
      </c>
      <c r="AV105" s="30">
        <v>156.44299999999998</v>
      </c>
      <c r="AW105" s="30">
        <v>28561.781999999999</v>
      </c>
      <c r="AX105" s="30">
        <v>133.77600000000001</v>
      </c>
      <c r="AY105" s="30">
        <v>110.66012857142857</v>
      </c>
      <c r="AZ105" s="30">
        <v>287.49899999999997</v>
      </c>
      <c r="BA105" s="9">
        <v>81.941999999999979</v>
      </c>
      <c r="BB105" s="30">
        <v>261.2672</v>
      </c>
      <c r="BC105" s="30">
        <v>135.82</v>
      </c>
      <c r="BD105" s="30"/>
      <c r="BE105" s="30">
        <v>163.779</v>
      </c>
      <c r="BF105" s="30"/>
      <c r="BG105" s="9">
        <v>19.202000000000002</v>
      </c>
      <c r="BH105" s="30"/>
      <c r="BI105" s="30"/>
      <c r="BJ105" s="30"/>
      <c r="BK105" s="30"/>
      <c r="BL105" s="30"/>
      <c r="BM105" s="30">
        <v>117.09400000000001</v>
      </c>
      <c r="BN105" s="30"/>
      <c r="BO105" s="30">
        <v>751.25600000000009</v>
      </c>
      <c r="BP105" s="30"/>
      <c r="BQ105" s="9"/>
      <c r="BR105" s="10">
        <v>0.99199999999999966</v>
      </c>
      <c r="BS105" s="9"/>
      <c r="BT105" s="9"/>
      <c r="BU105" s="30">
        <v>1573.68706</v>
      </c>
      <c r="BV105" s="30"/>
      <c r="BW105" s="9">
        <f t="shared" si="39"/>
        <v>46.012088192871005</v>
      </c>
      <c r="BX105" s="9">
        <f t="shared" si="40"/>
        <v>53.615963800331379</v>
      </c>
      <c r="BY105" s="9">
        <f t="shared" si="41"/>
        <v>0.3719480067976027</v>
      </c>
      <c r="BZ105" s="9">
        <f t="shared" si="42"/>
        <v>98.541849132449101</v>
      </c>
      <c r="CA105" s="9">
        <f t="shared" si="43"/>
        <v>0.34285793000516473</v>
      </c>
      <c r="CB105" s="9">
        <f t="shared" si="44"/>
        <v>1.115292937545729</v>
      </c>
      <c r="CC105" s="9"/>
      <c r="CD105" s="8">
        <v>12.8</v>
      </c>
      <c r="CE105" s="9">
        <v>9</v>
      </c>
      <c r="CF105" s="30">
        <v>-19</v>
      </c>
      <c r="CG105" s="30"/>
      <c r="CH105" s="10">
        <v>91.043000000000006</v>
      </c>
      <c r="CI105" s="10">
        <v>3.2964000000000002</v>
      </c>
      <c r="CJ105" s="31">
        <v>1.4323000000000001E-2</v>
      </c>
      <c r="CK105" s="32">
        <v>3.2908E-3</v>
      </c>
      <c r="CL105" s="32"/>
      <c r="CM105" s="32"/>
      <c r="CN105" s="31">
        <v>2.3674000000000001E-2</v>
      </c>
      <c r="CO105" s="10">
        <v>0.82950000000000002</v>
      </c>
      <c r="CP105" s="10">
        <f t="shared" si="36"/>
        <v>95.210187800000014</v>
      </c>
      <c r="CQ105" s="25"/>
      <c r="CR105" s="9"/>
      <c r="CS105" s="128">
        <v>-39.5</v>
      </c>
      <c r="CT105" s="112">
        <v>-19.5</v>
      </c>
      <c r="CU105" s="9"/>
      <c r="CV105" s="9"/>
    </row>
    <row r="106" spans="1:100" x14ac:dyDescent="0.4">
      <c r="A106" s="26">
        <v>25</v>
      </c>
      <c r="B106" s="44" t="s">
        <v>261</v>
      </c>
      <c r="C106" s="74" t="s">
        <v>262</v>
      </c>
      <c r="D106" s="133" t="s">
        <v>440</v>
      </c>
      <c r="E106" s="76">
        <v>45.424703999999998</v>
      </c>
      <c r="F106" s="42">
        <v>36.485447000000001</v>
      </c>
      <c r="G106" s="30">
        <v>53.025672999999998</v>
      </c>
      <c r="H106" s="41">
        <v>42987</v>
      </c>
      <c r="I106" s="9">
        <f t="shared" si="37"/>
        <v>12.508159162817863</v>
      </c>
      <c r="J106" s="8"/>
      <c r="K106" s="68">
        <f t="shared" si="38"/>
        <v>103.13146560641161</v>
      </c>
      <c r="L106" s="8"/>
      <c r="M106" s="8">
        <v>8.1</v>
      </c>
      <c r="N106" s="8"/>
      <c r="O106" s="29">
        <v>5490</v>
      </c>
      <c r="P106" s="30">
        <v>3191</v>
      </c>
      <c r="Q106" s="30"/>
      <c r="R106" s="30">
        <v>2464878.7872499921</v>
      </c>
      <c r="S106" s="30">
        <v>417639.62847319752</v>
      </c>
      <c r="T106" s="30">
        <v>3682455.3731264495</v>
      </c>
      <c r="U106" s="30">
        <v>34803.960112672386</v>
      </c>
      <c r="V106" s="9">
        <v>40.125610000000009</v>
      </c>
      <c r="W106" s="30">
        <v>29259.591160702614</v>
      </c>
      <c r="X106" s="30"/>
      <c r="Y106" s="30"/>
      <c r="Z106" s="30">
        <v>59263.997650791782</v>
      </c>
      <c r="AA106" s="30">
        <v>50635.83192794861</v>
      </c>
      <c r="AB106" s="9">
        <v>8.6623926822336283</v>
      </c>
      <c r="AC106" s="9"/>
      <c r="AD106" s="9">
        <v>4.0219199999999997</v>
      </c>
      <c r="AE106" s="30"/>
      <c r="AF106" s="9">
        <v>4.4793131581071339</v>
      </c>
      <c r="AG106" s="9">
        <v>19.394805461475709</v>
      </c>
      <c r="AH106" s="9"/>
      <c r="AI106" s="9">
        <v>16.07</v>
      </c>
      <c r="AJ106" s="9">
        <v>9.7944999999999993</v>
      </c>
      <c r="AK106" s="9">
        <v>41.46286051386754</v>
      </c>
      <c r="AL106" s="30">
        <v>16882.653055555558</v>
      </c>
      <c r="AM106" s="30">
        <v>9763.8930609792733</v>
      </c>
      <c r="AN106" s="30">
        <v>2305.5860619469031</v>
      </c>
      <c r="AO106" s="30"/>
      <c r="AP106" s="30">
        <v>3864.3539999999994</v>
      </c>
      <c r="AQ106" s="30"/>
      <c r="AR106" s="30">
        <v>4037.389916666667</v>
      </c>
      <c r="AS106" s="30"/>
      <c r="AT106" s="30"/>
      <c r="AU106" s="30">
        <v>697.97500000000014</v>
      </c>
      <c r="AV106" s="30">
        <v>646.56150000000002</v>
      </c>
      <c r="AW106" s="30">
        <v>42854.890999999996</v>
      </c>
      <c r="AX106" s="30">
        <v>646.74799999999993</v>
      </c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>
        <v>148.06799999999998</v>
      </c>
      <c r="BP106" s="30"/>
      <c r="BQ106" s="9">
        <v>26.435774999999996</v>
      </c>
      <c r="BR106" s="10">
        <v>0.81599999999999984</v>
      </c>
      <c r="BS106" s="9">
        <v>20.664375</v>
      </c>
      <c r="BT106" s="9"/>
      <c r="BU106" s="30">
        <v>240.23153000000002</v>
      </c>
      <c r="BV106" s="30"/>
      <c r="BW106" s="9">
        <f t="shared" si="39"/>
        <v>50.031318509238965</v>
      </c>
      <c r="BX106" s="9">
        <f t="shared" si="40"/>
        <v>49.968681490761043</v>
      </c>
      <c r="BY106" s="9">
        <f t="shared" si="41"/>
        <v>0</v>
      </c>
      <c r="BZ106" s="9">
        <f t="shared" si="42"/>
        <v>96.743089898140184</v>
      </c>
      <c r="CA106" s="9">
        <f t="shared" si="43"/>
        <v>1.526759146220765</v>
      </c>
      <c r="CB106" s="9">
        <f t="shared" si="44"/>
        <v>1.7301509556390409</v>
      </c>
      <c r="CC106" s="9"/>
      <c r="CD106" s="8">
        <v>13.1</v>
      </c>
      <c r="CE106" s="9">
        <v>12.8</v>
      </c>
      <c r="CF106" s="30">
        <v>-22.1</v>
      </c>
      <c r="CG106" s="30"/>
      <c r="CH106" s="10"/>
      <c r="CI106" s="10"/>
      <c r="CJ106" s="32"/>
      <c r="CK106" s="32"/>
      <c r="CL106" s="32"/>
      <c r="CM106" s="32"/>
      <c r="CN106" s="31"/>
      <c r="CO106" s="10"/>
      <c r="CP106" s="10"/>
      <c r="CQ106" s="8"/>
      <c r="CR106" s="9"/>
      <c r="CS106" s="128"/>
      <c r="CT106" s="112"/>
      <c r="CU106" s="9"/>
      <c r="CV106" s="9"/>
    </row>
    <row r="107" spans="1:100" x14ac:dyDescent="0.4">
      <c r="A107" s="26">
        <v>25</v>
      </c>
      <c r="B107" s="40" t="s">
        <v>263</v>
      </c>
      <c r="C107" s="71" t="s">
        <v>264</v>
      </c>
      <c r="D107" s="133" t="s">
        <v>441</v>
      </c>
      <c r="E107" s="76">
        <v>45.424619</v>
      </c>
      <c r="F107" s="42">
        <v>36.485436999999997</v>
      </c>
      <c r="G107" s="30">
        <v>87.722458000000003</v>
      </c>
      <c r="H107" s="41">
        <v>44024</v>
      </c>
      <c r="I107" s="9">
        <f t="shared" si="37"/>
        <v>14.008763337297939</v>
      </c>
      <c r="J107" s="27">
        <v>28</v>
      </c>
      <c r="K107" s="68">
        <f t="shared" si="38"/>
        <v>113.36521881414666</v>
      </c>
      <c r="L107" s="8">
        <v>61</v>
      </c>
      <c r="M107" s="8">
        <v>7.64</v>
      </c>
      <c r="N107" s="109" t="s">
        <v>66</v>
      </c>
      <c r="O107" s="110">
        <v>4656.333333333333</v>
      </c>
      <c r="P107" s="30">
        <v>3396</v>
      </c>
      <c r="Q107" s="30">
        <f t="shared" ref="Q107:Q119" si="45">Y107/32*96/1000</f>
        <v>24.552945618242315</v>
      </c>
      <c r="R107" s="30">
        <v>2962174.4759516362</v>
      </c>
      <c r="S107" s="30">
        <v>713383.40743303415</v>
      </c>
      <c r="T107" s="30">
        <v>5846362.1032258971</v>
      </c>
      <c r="U107" s="30">
        <v>24626.90991813915</v>
      </c>
      <c r="V107" s="9">
        <v>48.325714285714284</v>
      </c>
      <c r="W107" s="30">
        <v>21171.818818411866</v>
      </c>
      <c r="X107" s="30">
        <v>13005.820369831974</v>
      </c>
      <c r="Y107" s="30">
        <v>8184.3152060807715</v>
      </c>
      <c r="Z107" s="30">
        <v>50477.242443349416</v>
      </c>
      <c r="AA107" s="30">
        <v>10410.80275897801</v>
      </c>
      <c r="AB107" s="9"/>
      <c r="AC107" s="9"/>
      <c r="AD107" s="9"/>
      <c r="AE107" s="30">
        <v>200.72110268096696</v>
      </c>
      <c r="AF107" s="9"/>
      <c r="AG107" s="9">
        <v>12.668196262436453</v>
      </c>
      <c r="AH107" s="9"/>
      <c r="AI107" s="9"/>
      <c r="AJ107" s="9"/>
      <c r="AK107" s="30">
        <v>168.99356585714287</v>
      </c>
      <c r="AL107" s="30">
        <v>20464.105238095239</v>
      </c>
      <c r="AM107" s="30">
        <v>5974.6894505427044</v>
      </c>
      <c r="AN107" s="30">
        <v>1210.7071428571428</v>
      </c>
      <c r="AO107" s="30"/>
      <c r="AP107" s="30">
        <v>5629.7499999999991</v>
      </c>
      <c r="AQ107" s="30"/>
      <c r="AR107" s="30">
        <v>9786.0850000000009</v>
      </c>
      <c r="AS107" s="30"/>
      <c r="AT107" s="30"/>
      <c r="AU107" s="30"/>
      <c r="AV107" s="30">
        <v>1322.7542857142857</v>
      </c>
      <c r="AW107" s="30">
        <v>11281.774400000002</v>
      </c>
      <c r="AX107" s="9">
        <v>59.268571428571434</v>
      </c>
      <c r="AY107" s="30"/>
      <c r="AZ107" s="9">
        <v>40.731428571428566</v>
      </c>
      <c r="BA107" s="9"/>
      <c r="BB107" s="9"/>
      <c r="BC107" s="9"/>
      <c r="BD107" s="9"/>
      <c r="BE107" s="9">
        <v>25.880000000000003</v>
      </c>
      <c r="BF107" s="9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9"/>
      <c r="BU107" s="30">
        <v>295.91565714285713</v>
      </c>
      <c r="BV107" s="30"/>
      <c r="BW107" s="9">
        <f t="shared" si="39"/>
        <v>44.249457024789116</v>
      </c>
      <c r="BX107" s="9">
        <f t="shared" si="40"/>
        <v>55.454021547272468</v>
      </c>
      <c r="BY107" s="9">
        <f t="shared" si="41"/>
        <v>0.29652142793842728</v>
      </c>
      <c r="BZ107" s="9">
        <f t="shared" si="42"/>
        <v>99.008482970857727</v>
      </c>
      <c r="CA107" s="9">
        <f t="shared" si="43"/>
        <v>0.20234898626684236</v>
      </c>
      <c r="CB107" s="9">
        <f t="shared" si="44"/>
        <v>0.78916804287543951</v>
      </c>
      <c r="CC107" s="9"/>
      <c r="CD107" s="111">
        <v>12.5</v>
      </c>
      <c r="CE107" s="112">
        <v>12.8</v>
      </c>
      <c r="CF107" s="113">
        <v>-21</v>
      </c>
      <c r="CG107" s="30"/>
      <c r="CH107" s="8">
        <v>89.55</v>
      </c>
      <c r="CI107" s="10">
        <v>6.1429999999999998</v>
      </c>
      <c r="CJ107" s="31">
        <v>1.137E-2</v>
      </c>
      <c r="CK107" s="31">
        <v>2.1899999999999999E-2</v>
      </c>
      <c r="CL107" s="10"/>
      <c r="CM107" s="31">
        <v>8.7179999999999994E-2</v>
      </c>
      <c r="CN107" s="8"/>
      <c r="CO107" s="8">
        <v>2.7309999999999999</v>
      </c>
      <c r="CP107" s="10">
        <f t="shared" ref="CP107:CP108" si="46">SUM(CH107:CO107)</f>
        <v>98.544449999999998</v>
      </c>
      <c r="CQ107" s="30"/>
      <c r="CR107" s="9"/>
      <c r="CS107" s="63">
        <v>-39.200000000000003</v>
      </c>
      <c r="CT107" s="63">
        <v>-1.5</v>
      </c>
      <c r="CU107" s="63">
        <v>-28.6</v>
      </c>
      <c r="CV107" s="63"/>
    </row>
    <row r="108" spans="1:100" x14ac:dyDescent="0.4">
      <c r="A108" s="26">
        <v>25</v>
      </c>
      <c r="B108" s="40" t="s">
        <v>265</v>
      </c>
      <c r="C108" s="69" t="s">
        <v>256</v>
      </c>
      <c r="D108" s="133" t="s">
        <v>437</v>
      </c>
      <c r="E108" s="76">
        <v>45.424543</v>
      </c>
      <c r="F108" s="42">
        <v>36.485495</v>
      </c>
      <c r="G108" s="30">
        <v>58.887993000000002</v>
      </c>
      <c r="H108" s="41">
        <v>44024</v>
      </c>
      <c r="I108" s="9">
        <f t="shared" si="37"/>
        <v>14.27345763825411</v>
      </c>
      <c r="J108" s="27">
        <v>28</v>
      </c>
      <c r="K108" s="68">
        <f t="shared" si="38"/>
        <v>99.731021875967315</v>
      </c>
      <c r="L108" s="8">
        <v>50</v>
      </c>
      <c r="M108" s="8">
        <v>7.47</v>
      </c>
      <c r="N108" s="109" t="s">
        <v>66</v>
      </c>
      <c r="O108" s="110">
        <v>5754.333333333333</v>
      </c>
      <c r="P108" s="30">
        <v>4158</v>
      </c>
      <c r="Q108" s="30">
        <f t="shared" si="45"/>
        <v>4.4296610850337066</v>
      </c>
      <c r="R108" s="30">
        <v>2198486.5444951402</v>
      </c>
      <c r="S108" s="30">
        <v>456867.80226331699</v>
      </c>
      <c r="T108" s="30">
        <v>4206079.483302338</v>
      </c>
      <c r="U108" s="30">
        <v>35400.29916329393</v>
      </c>
      <c r="V108" s="9">
        <v>32.362857142857138</v>
      </c>
      <c r="W108" s="30">
        <v>27472.046267689773</v>
      </c>
      <c r="X108" s="30">
        <v>1420.0400442410905</v>
      </c>
      <c r="Y108" s="30">
        <v>1476.5536950112355</v>
      </c>
      <c r="Z108" s="30">
        <v>58498.926005323548</v>
      </c>
      <c r="AA108" s="30">
        <v>56715.935364787401</v>
      </c>
      <c r="AB108" s="9"/>
      <c r="AC108" s="9"/>
      <c r="AD108" s="9">
        <v>2.157142857142857</v>
      </c>
      <c r="AE108" s="30">
        <v>781.95673550346464</v>
      </c>
      <c r="AF108" s="9"/>
      <c r="AG108" s="9"/>
      <c r="AH108" s="9"/>
      <c r="AI108" s="9"/>
      <c r="AJ108" s="9">
        <v>21.535714285714285</v>
      </c>
      <c r="AK108" s="9">
        <v>26.123317928571424</v>
      </c>
      <c r="AL108" s="30">
        <v>16128.052619047621</v>
      </c>
      <c r="AM108" s="30">
        <v>11164.52703498568</v>
      </c>
      <c r="AN108" s="30">
        <v>2310.9016573291869</v>
      </c>
      <c r="AO108" s="30"/>
      <c r="AP108" s="30">
        <v>2223.5727272727272</v>
      </c>
      <c r="AQ108" s="9">
        <v>61.221428571428561</v>
      </c>
      <c r="AR108" s="30">
        <v>4141.0424999999996</v>
      </c>
      <c r="AS108" s="30"/>
      <c r="AT108" s="30"/>
      <c r="AU108" s="30"/>
      <c r="AV108" s="30">
        <v>208.97714285714287</v>
      </c>
      <c r="AW108" s="30">
        <v>28296.247200000002</v>
      </c>
      <c r="AX108" s="30">
        <v>221.01428571428573</v>
      </c>
      <c r="AY108" s="30"/>
      <c r="AZ108" s="9">
        <v>18.685714285714287</v>
      </c>
      <c r="BA108" s="9"/>
      <c r="BB108" s="9"/>
      <c r="BC108" s="9">
        <v>12.219999999999999</v>
      </c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10"/>
      <c r="BS108" s="9"/>
      <c r="BT108" s="9"/>
      <c r="BU108" s="30">
        <v>119.79462857142858</v>
      </c>
      <c r="BV108" s="30"/>
      <c r="BW108" s="9">
        <f t="shared" si="39"/>
        <v>44.591005783539735</v>
      </c>
      <c r="BX108" s="9">
        <f t="shared" si="40"/>
        <v>55.365371636278773</v>
      </c>
      <c r="BY108" s="9">
        <f t="shared" si="41"/>
        <v>4.3622580181505936E-2</v>
      </c>
      <c r="BZ108" s="9">
        <f t="shared" si="42"/>
        <v>96.955424713578466</v>
      </c>
      <c r="CA108" s="9">
        <f t="shared" si="43"/>
        <v>1.5004787714122625</v>
      </c>
      <c r="CB108" s="9">
        <f t="shared" si="44"/>
        <v>1.5440965150092729</v>
      </c>
      <c r="CC108" s="9"/>
      <c r="CD108" s="111">
        <v>10.4</v>
      </c>
      <c r="CE108" s="112">
        <v>9.1999999999999993</v>
      </c>
      <c r="CF108" s="113">
        <v>-13</v>
      </c>
      <c r="CG108" s="30"/>
      <c r="CH108" s="8">
        <v>94.17</v>
      </c>
      <c r="CI108" s="10">
        <v>2.64</v>
      </c>
      <c r="CJ108" s="31">
        <v>1.2800000000000001E-2</v>
      </c>
      <c r="CK108" s="31">
        <v>1.9939999999999999E-2</v>
      </c>
      <c r="CL108" s="10"/>
      <c r="CM108" s="31">
        <v>8.8220000000000007E-2</v>
      </c>
      <c r="CN108" s="8"/>
      <c r="CO108" s="8">
        <v>3.0249999999999999</v>
      </c>
      <c r="CP108" s="10">
        <f t="shared" si="46"/>
        <v>99.955960000000019</v>
      </c>
      <c r="CQ108" s="30"/>
      <c r="CR108" s="9"/>
      <c r="CS108" s="63">
        <v>-40.1</v>
      </c>
      <c r="CT108" s="63">
        <v>-14</v>
      </c>
      <c r="CU108" s="9"/>
      <c r="CV108" s="9"/>
    </row>
    <row r="109" spans="1:100" x14ac:dyDescent="0.4">
      <c r="A109" s="26">
        <v>26</v>
      </c>
      <c r="B109" s="40" t="s">
        <v>266</v>
      </c>
      <c r="C109" s="69" t="s">
        <v>267</v>
      </c>
      <c r="D109" s="122" t="s">
        <v>442</v>
      </c>
      <c r="E109" s="76">
        <v>45.426704000000001</v>
      </c>
      <c r="F109" s="42">
        <v>36.477573999999997</v>
      </c>
      <c r="G109" s="46">
        <v>65.964600000000004</v>
      </c>
      <c r="H109" s="41">
        <v>42205</v>
      </c>
      <c r="I109" s="9">
        <f t="shared" si="37"/>
        <v>13.899159801896904</v>
      </c>
      <c r="J109" s="8">
        <v>16.100000000000001</v>
      </c>
      <c r="K109" s="68">
        <f t="shared" si="38"/>
        <v>108.01056275770247</v>
      </c>
      <c r="L109" s="8">
        <v>142</v>
      </c>
      <c r="M109" s="10">
        <v>7.62</v>
      </c>
      <c r="N109" s="10">
        <v>0.4</v>
      </c>
      <c r="O109" s="29">
        <v>5612</v>
      </c>
      <c r="P109" s="30">
        <v>3758</v>
      </c>
      <c r="Q109" s="30">
        <f t="shared" si="45"/>
        <v>23.730784787437322</v>
      </c>
      <c r="R109" s="30">
        <v>2652179.9821559899</v>
      </c>
      <c r="S109" s="30">
        <v>485120.767649677</v>
      </c>
      <c r="T109" s="30">
        <v>4376338.0851336597</v>
      </c>
      <c r="U109" s="30">
        <v>28539.230255439172</v>
      </c>
      <c r="V109" s="30">
        <v>234.22474442200269</v>
      </c>
      <c r="W109" s="30">
        <v>14550.471751684168</v>
      </c>
      <c r="X109" s="30">
        <v>1915.5856365651366</v>
      </c>
      <c r="Y109" s="30">
        <v>7910.2615958124406</v>
      </c>
      <c r="Z109" s="30">
        <v>44491.901633137561</v>
      </c>
      <c r="AA109" s="30">
        <v>56059.800087229072</v>
      </c>
      <c r="AB109" s="30"/>
      <c r="AC109" s="30"/>
      <c r="AD109" s="9">
        <v>52.564054540005991</v>
      </c>
      <c r="AE109" s="30">
        <v>138.53683873443757</v>
      </c>
      <c r="AF109" s="30"/>
      <c r="AG109" s="30"/>
      <c r="AH109" s="30"/>
      <c r="AI109" s="30"/>
      <c r="AJ109" s="9">
        <v>23.900401287906607</v>
      </c>
      <c r="AK109" s="9">
        <v>70.487504816130837</v>
      </c>
      <c r="AL109" s="30">
        <v>17096.429360034788</v>
      </c>
      <c r="AM109" s="30">
        <v>2427.0893911505191</v>
      </c>
      <c r="AN109" s="30">
        <v>1382.1098681782639</v>
      </c>
      <c r="AO109" s="10"/>
      <c r="AP109" s="9">
        <f>1000*20.1801500492316</f>
        <v>20180.150049231601</v>
      </c>
      <c r="AQ109" s="9"/>
      <c r="AR109" s="9">
        <v>14922.751092219611</v>
      </c>
      <c r="AS109" s="9"/>
      <c r="AT109" s="9"/>
      <c r="AU109" s="9">
        <v>1480.8463979096678</v>
      </c>
      <c r="AV109" s="10">
        <v>1674.9976905103633</v>
      </c>
      <c r="AW109" s="30">
        <f>1000*8.30767791453086</f>
        <v>8307.6779145308592</v>
      </c>
      <c r="AX109" s="30">
        <v>138.61808245798042</v>
      </c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9"/>
      <c r="BS109" s="10"/>
      <c r="BT109" s="10"/>
      <c r="BU109" s="9">
        <v>2663.9324278904114</v>
      </c>
      <c r="BV109" s="9"/>
      <c r="BW109" s="9">
        <f t="shared" si="39"/>
        <v>46.381827663644721</v>
      </c>
      <c r="BX109" s="9">
        <f t="shared" si="40"/>
        <v>53.368924788725316</v>
      </c>
      <c r="BY109" s="9">
        <f t="shared" si="41"/>
        <v>0.24924754762997275</v>
      </c>
      <c r="BZ109" s="9">
        <f t="shared" si="42"/>
        <v>97.367048933047371</v>
      </c>
      <c r="CA109" s="9">
        <f t="shared" si="43"/>
        <v>1.4314718291358843</v>
      </c>
      <c r="CB109" s="9">
        <f t="shared" si="44"/>
        <v>1.2014792378167489</v>
      </c>
      <c r="CC109" s="9"/>
      <c r="CD109" s="8">
        <v>9.8000000000000007</v>
      </c>
      <c r="CE109" s="9">
        <v>13</v>
      </c>
      <c r="CF109" s="132">
        <v>-23</v>
      </c>
      <c r="CG109" s="9"/>
      <c r="CH109" s="10">
        <v>85.92</v>
      </c>
      <c r="CI109" s="27">
        <v>13.37</v>
      </c>
      <c r="CJ109" s="27">
        <v>1.2999999999999999E-2</v>
      </c>
      <c r="CK109" s="27"/>
      <c r="CL109" s="27"/>
      <c r="CM109" s="31"/>
      <c r="CN109" s="27">
        <v>2.3E-2</v>
      </c>
      <c r="CO109" s="27">
        <v>0.56000000000000005</v>
      </c>
      <c r="CP109" s="10">
        <f>SUM(CH109:CO109)</f>
        <v>99.88600000000001</v>
      </c>
      <c r="CQ109" s="10"/>
      <c r="CR109" s="128">
        <v>-2.4</v>
      </c>
      <c r="CS109" s="128">
        <v>-39.299999999999997</v>
      </c>
      <c r="CT109" s="128">
        <v>-5.4</v>
      </c>
      <c r="CU109" s="137">
        <v>-23.8</v>
      </c>
      <c r="CV109" s="137"/>
    </row>
    <row r="110" spans="1:100" x14ac:dyDescent="0.4">
      <c r="A110" s="26">
        <v>26</v>
      </c>
      <c r="B110" s="44" t="s">
        <v>268</v>
      </c>
      <c r="C110" s="69" t="s">
        <v>267</v>
      </c>
      <c r="D110" s="122" t="s">
        <v>442</v>
      </c>
      <c r="E110" s="76">
        <v>45.426673000000001</v>
      </c>
      <c r="F110" s="42">
        <v>36.477516999999999</v>
      </c>
      <c r="G110" s="30">
        <v>58.017994000000002</v>
      </c>
      <c r="H110" s="41">
        <v>42987</v>
      </c>
      <c r="I110" s="9">
        <f t="shared" si="37"/>
        <v>13.581791980562347</v>
      </c>
      <c r="J110" s="8"/>
      <c r="K110" s="68">
        <f t="shared" si="38"/>
        <v>106.97074517190759</v>
      </c>
      <c r="L110" s="8"/>
      <c r="M110" s="8">
        <v>8</v>
      </c>
      <c r="N110" s="8"/>
      <c r="O110" s="29">
        <v>5978</v>
      </c>
      <c r="P110" s="30">
        <v>3368</v>
      </c>
      <c r="Q110" s="30">
        <f t="shared" si="45"/>
        <v>15.950834473244075</v>
      </c>
      <c r="R110" s="30">
        <v>2488655.7530434011</v>
      </c>
      <c r="S110" s="30">
        <v>487821.29878540727</v>
      </c>
      <c r="T110" s="30">
        <v>4112186.8891395302</v>
      </c>
      <c r="U110" s="30">
        <v>27025.174764060284</v>
      </c>
      <c r="V110" s="9">
        <v>47.22081</v>
      </c>
      <c r="W110" s="30">
        <v>15015.24648040797</v>
      </c>
      <c r="X110" s="30">
        <v>2762.9349219849355</v>
      </c>
      <c r="Y110" s="30">
        <v>5316.9448244146915</v>
      </c>
      <c r="Z110" s="30">
        <v>31947.67991058261</v>
      </c>
      <c r="AA110" s="30">
        <v>48681.402274929133</v>
      </c>
      <c r="AB110" s="9"/>
      <c r="AC110" s="9"/>
      <c r="AD110" s="9">
        <v>54.766319999999993</v>
      </c>
      <c r="AE110" s="30">
        <v>1962.696121497866</v>
      </c>
      <c r="AF110" s="30"/>
      <c r="AG110" s="9"/>
      <c r="AH110" s="9"/>
      <c r="AI110" s="9">
        <v>15.290000000000001</v>
      </c>
      <c r="AJ110" s="9">
        <v>43.274499999999996</v>
      </c>
      <c r="AK110" s="9">
        <v>28.715606248807312</v>
      </c>
      <c r="AL110" s="30">
        <v>18796.653055555555</v>
      </c>
      <c r="AM110" s="30">
        <v>2412.1063553619706</v>
      </c>
      <c r="AN110" s="30">
        <v>1212.2347345132744</v>
      </c>
      <c r="AO110" s="30"/>
      <c r="AP110" s="30">
        <v>20610.354000000003</v>
      </c>
      <c r="AQ110" s="30"/>
      <c r="AR110" s="30">
        <v>6660.389916666667</v>
      </c>
      <c r="AS110" s="30"/>
      <c r="AT110" s="30"/>
      <c r="AU110" s="30">
        <v>762.97500000000014</v>
      </c>
      <c r="AV110" s="30">
        <v>399.404</v>
      </c>
      <c r="AW110" s="30">
        <v>7968.8909999999996</v>
      </c>
      <c r="AX110" s="9">
        <v>87.908000000000015</v>
      </c>
      <c r="AY110" s="9">
        <v>52.0527218710493</v>
      </c>
      <c r="AZ110" s="30">
        <v>130.70949999999999</v>
      </c>
      <c r="BA110" s="9">
        <v>9.4309999999999974</v>
      </c>
      <c r="BB110" s="9">
        <v>76.348799999999997</v>
      </c>
      <c r="BC110" s="9">
        <v>21.549999999999997</v>
      </c>
      <c r="BD110" s="9"/>
      <c r="BE110" s="9">
        <v>27.308</v>
      </c>
      <c r="BF110" s="9"/>
      <c r="BG110" s="9">
        <v>9.6010000000000009</v>
      </c>
      <c r="BH110" s="30"/>
      <c r="BI110" s="30"/>
      <c r="BJ110" s="30"/>
      <c r="BK110" s="30"/>
      <c r="BL110" s="30"/>
      <c r="BM110" s="30">
        <v>124.2355</v>
      </c>
      <c r="BN110" s="30"/>
      <c r="BO110" s="30"/>
      <c r="BP110" s="30"/>
      <c r="BQ110" s="9"/>
      <c r="BR110" s="10"/>
      <c r="BS110" s="9"/>
      <c r="BT110" s="9">
        <v>20.564999999999998</v>
      </c>
      <c r="BU110" s="30">
        <v>1945.9195299999999</v>
      </c>
      <c r="BV110" s="30"/>
      <c r="BW110" s="9">
        <f t="shared" si="39"/>
        <v>50.723180968072924</v>
      </c>
      <c r="BX110" s="9">
        <f t="shared" si="40"/>
        <v>49.104821356846685</v>
      </c>
      <c r="BY110" s="9">
        <f t="shared" si="41"/>
        <v>0.17199767508038591</v>
      </c>
      <c r="BZ110" s="9">
        <f t="shared" si="42"/>
        <v>97.463744765623673</v>
      </c>
      <c r="CA110" s="9">
        <f t="shared" si="43"/>
        <v>1.3242300787266428</v>
      </c>
      <c r="CB110" s="9">
        <f t="shared" si="44"/>
        <v>1.2120251556496973</v>
      </c>
      <c r="CC110" s="9"/>
      <c r="CD110" s="8">
        <v>10.7</v>
      </c>
      <c r="CE110" s="9">
        <v>13.5</v>
      </c>
      <c r="CF110" s="30">
        <v>-23.8</v>
      </c>
      <c r="CG110" s="30"/>
      <c r="CH110" s="10">
        <v>80.625</v>
      </c>
      <c r="CI110" s="10">
        <v>15.318</v>
      </c>
      <c r="CJ110" s="31">
        <v>1.3736999999999999E-2</v>
      </c>
      <c r="CK110" s="32">
        <v>1.9536000000000001E-2</v>
      </c>
      <c r="CL110" s="32"/>
      <c r="CM110" s="31"/>
      <c r="CN110" s="31">
        <v>1.9588999999999999E-2</v>
      </c>
      <c r="CO110" s="10">
        <v>0.63793999999999995</v>
      </c>
      <c r="CP110" s="10">
        <f>SUM(CH110:CO110)</f>
        <v>96.633802000000003</v>
      </c>
      <c r="CQ110" s="25"/>
      <c r="CR110" s="9"/>
      <c r="CS110" s="128">
        <v>-38.700000000000003</v>
      </c>
      <c r="CT110" s="112">
        <v>-2</v>
      </c>
      <c r="CU110" s="9"/>
      <c r="CV110" s="9"/>
    </row>
    <row r="111" spans="1:100" x14ac:dyDescent="0.4">
      <c r="A111" s="26">
        <v>26</v>
      </c>
      <c r="B111" s="40" t="s">
        <v>269</v>
      </c>
      <c r="C111" s="69" t="s">
        <v>267</v>
      </c>
      <c r="D111" s="122" t="s">
        <v>442</v>
      </c>
      <c r="E111" s="76">
        <v>45.426673999999998</v>
      </c>
      <c r="F111" s="42">
        <v>36.477525</v>
      </c>
      <c r="G111" s="30">
        <v>67.326141000000007</v>
      </c>
      <c r="H111" s="41">
        <v>44024</v>
      </c>
      <c r="I111" s="8"/>
      <c r="J111" s="8"/>
      <c r="K111" s="68">
        <f t="shared" si="38"/>
        <v>104.69212067094463</v>
      </c>
      <c r="L111" s="8"/>
      <c r="M111" s="8"/>
      <c r="N111" s="109" t="s">
        <v>66</v>
      </c>
      <c r="O111" s="110">
        <v>5673</v>
      </c>
      <c r="P111" s="30">
        <v>3749</v>
      </c>
      <c r="Q111" s="30">
        <f t="shared" si="45"/>
        <v>20.491365253741492</v>
      </c>
      <c r="R111" s="30">
        <v>2279786.9035902401</v>
      </c>
      <c r="S111" s="30">
        <v>533157.66784370504</v>
      </c>
      <c r="T111" s="30">
        <v>4535956.3959613759</v>
      </c>
      <c r="U111" s="30">
        <v>26637.212698382747</v>
      </c>
      <c r="V111" s="9">
        <v>41.622857142857143</v>
      </c>
      <c r="W111" s="30">
        <v>14291.87541846559</v>
      </c>
      <c r="X111" s="9">
        <v>2573.293841530211</v>
      </c>
      <c r="Y111" s="30">
        <v>6830.4550845804979</v>
      </c>
      <c r="Z111" s="30">
        <v>32083.00878010938</v>
      </c>
      <c r="AA111" s="30">
        <v>44159.865289336478</v>
      </c>
      <c r="AB111" s="10"/>
      <c r="AC111" s="9"/>
      <c r="AD111" s="9">
        <v>29.247142857142862</v>
      </c>
      <c r="AE111" s="30">
        <v>367.91257474823965</v>
      </c>
      <c r="AF111" s="10"/>
      <c r="AG111" s="9"/>
      <c r="AH111" s="9"/>
      <c r="AI111" s="9"/>
      <c r="AJ111" s="9">
        <v>25.775714285714287</v>
      </c>
      <c r="AK111" s="9">
        <v>35.213566519480523</v>
      </c>
      <c r="AL111" s="30">
        <v>15530.052619047619</v>
      </c>
      <c r="AM111" s="30">
        <v>2276.7562532241172</v>
      </c>
      <c r="AN111" s="30">
        <v>1088.2040035539267</v>
      </c>
      <c r="AO111" s="9"/>
      <c r="AP111" s="30">
        <v>14873.223863636365</v>
      </c>
      <c r="AQ111" s="9"/>
      <c r="AR111" s="30">
        <v>8609.5424999999996</v>
      </c>
      <c r="AS111" s="9"/>
      <c r="AT111" s="9"/>
      <c r="AU111" s="9"/>
      <c r="AV111" s="9">
        <v>93.548571428571421</v>
      </c>
      <c r="AW111" s="30">
        <v>6198.3271999999997</v>
      </c>
      <c r="AX111" s="9">
        <v>49.874285714285712</v>
      </c>
      <c r="AY111" s="9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9"/>
      <c r="BM111" s="9">
        <v>99.702857142857141</v>
      </c>
      <c r="BN111" s="9"/>
      <c r="BO111" s="9"/>
      <c r="BP111" s="9"/>
      <c r="BQ111" s="9"/>
      <c r="BR111" s="10"/>
      <c r="BS111" s="9"/>
      <c r="BT111" s="9"/>
      <c r="BU111" s="30">
        <v>1972.6794285714284</v>
      </c>
      <c r="BV111" s="30"/>
      <c r="BW111" s="9">
        <f t="shared" si="39"/>
        <v>46.726028460984445</v>
      </c>
      <c r="BX111" s="9">
        <f t="shared" si="40"/>
        <v>53.059482265706691</v>
      </c>
      <c r="BY111" s="9">
        <f t="shared" si="41"/>
        <v>0.21448927330886036</v>
      </c>
      <c r="BZ111" s="9">
        <f t="shared" si="42"/>
        <v>97.82003094789718</v>
      </c>
      <c r="CA111" s="9">
        <f t="shared" si="43"/>
        <v>1.0929914975621302</v>
      </c>
      <c r="CB111" s="9">
        <f t="shared" si="44"/>
        <v>1.0869775545406839</v>
      </c>
      <c r="CC111" s="9"/>
      <c r="CD111" s="111">
        <v>9.8000000000000007</v>
      </c>
      <c r="CE111" s="112">
        <v>11.8</v>
      </c>
      <c r="CF111" s="113">
        <v>-17</v>
      </c>
      <c r="CG111" s="30"/>
      <c r="CH111" s="8">
        <v>87.99</v>
      </c>
      <c r="CI111" s="10">
        <v>9.907</v>
      </c>
      <c r="CJ111" s="31">
        <v>1.4800000000000001E-2</v>
      </c>
      <c r="CK111" s="31">
        <v>1.661E-2</v>
      </c>
      <c r="CL111" s="10"/>
      <c r="CM111" s="31">
        <v>6.9010000000000002E-2</v>
      </c>
      <c r="CN111" s="8"/>
      <c r="CO111" s="8">
        <v>1.9019999999999999</v>
      </c>
      <c r="CP111" s="10">
        <f>SUM(CH111:CO111)</f>
        <v>99.899419999999992</v>
      </c>
      <c r="CQ111" s="30"/>
      <c r="CR111" s="9"/>
      <c r="CS111" s="63">
        <v>-38.6</v>
      </c>
      <c r="CT111" s="63">
        <v>-3.6</v>
      </c>
      <c r="CU111" s="9"/>
      <c r="CV111" s="9"/>
    </row>
    <row r="112" spans="1:100" x14ac:dyDescent="0.4">
      <c r="A112" s="26">
        <v>27</v>
      </c>
      <c r="B112" s="40" t="s">
        <v>271</v>
      </c>
      <c r="C112" s="71" t="s">
        <v>272</v>
      </c>
      <c r="D112" s="122" t="s">
        <v>443</v>
      </c>
      <c r="E112" s="76">
        <v>45.425899000000001</v>
      </c>
      <c r="F112" s="42">
        <v>36.478852000000003</v>
      </c>
      <c r="G112" s="46">
        <v>59.976016999999999</v>
      </c>
      <c r="H112" s="41">
        <v>42205</v>
      </c>
      <c r="I112" s="9">
        <f t="shared" ref="I112:I117" si="47">(O112+P112+Z112/1000+AA112/1000+T112/1000+U112/1000+Y112/1000/32*96)/1000</f>
        <v>13.615045811018891</v>
      </c>
      <c r="J112" s="8">
        <v>21.2</v>
      </c>
      <c r="K112" s="68">
        <f t="shared" si="38"/>
        <v>109.98327067590225</v>
      </c>
      <c r="L112" s="8">
        <v>122</v>
      </c>
      <c r="M112" s="10">
        <v>7.11</v>
      </c>
      <c r="N112" s="10">
        <v>0.54</v>
      </c>
      <c r="O112" s="29">
        <v>5246</v>
      </c>
      <c r="P112" s="30">
        <v>3830</v>
      </c>
      <c r="Q112" s="30">
        <f t="shared" si="45"/>
        <v>26.860962581970508</v>
      </c>
      <c r="R112" s="30">
        <v>3174819.4188114703</v>
      </c>
      <c r="S112" s="30">
        <v>464226.97475870716</v>
      </c>
      <c r="T112" s="30">
        <v>4335643.2181519708</v>
      </c>
      <c r="U112" s="30">
        <v>35660.755023402904</v>
      </c>
      <c r="V112" s="30">
        <v>201.01962628786816</v>
      </c>
      <c r="W112" s="30">
        <v>29767.248704018664</v>
      </c>
      <c r="X112" s="30"/>
      <c r="Y112" s="30">
        <v>8953.654193990169</v>
      </c>
      <c r="Z112" s="30">
        <v>85259.110805570075</v>
      </c>
      <c r="AA112" s="30">
        <v>55621.764455980214</v>
      </c>
      <c r="AB112" s="30"/>
      <c r="AC112" s="30"/>
      <c r="AD112" s="9">
        <v>55.720418364011756</v>
      </c>
      <c r="AE112" s="30">
        <v>269.04723383997765</v>
      </c>
      <c r="AF112" s="30"/>
      <c r="AG112" s="30"/>
      <c r="AH112" s="30"/>
      <c r="AI112" s="30"/>
      <c r="AJ112" s="9">
        <v>18.241358771966787</v>
      </c>
      <c r="AK112" s="9">
        <v>37.582484992944892</v>
      </c>
      <c r="AL112" s="30">
        <v>16056.790215548119</v>
      </c>
      <c r="AM112" s="30">
        <v>3775.4674431557164</v>
      </c>
      <c r="AN112" s="30">
        <v>2018.6367501118</v>
      </c>
      <c r="AO112" s="10"/>
      <c r="AP112" s="9">
        <f>1000*14.1757009840711</f>
        <v>14175.7009840711</v>
      </c>
      <c r="AQ112" s="9"/>
      <c r="AR112" s="9">
        <v>6478.4988560359052</v>
      </c>
      <c r="AS112" s="9"/>
      <c r="AT112" s="9"/>
      <c r="AU112" s="9">
        <v>1556.1515639490544</v>
      </c>
      <c r="AV112" s="10">
        <v>298.8238067526338</v>
      </c>
      <c r="AW112" s="30">
        <f>1000*32.1631648329095</f>
        <v>32163.164832909501</v>
      </c>
      <c r="AX112" s="30">
        <v>513.25774972231295</v>
      </c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9"/>
      <c r="BS112" s="10"/>
      <c r="BT112" s="10"/>
      <c r="BU112" s="9">
        <v>1610.9425573163599</v>
      </c>
      <c r="BV112" s="9"/>
      <c r="BW112" s="9">
        <f t="shared" si="39"/>
        <v>44.228006675415237</v>
      </c>
      <c r="BX112" s="9">
        <f t="shared" si="40"/>
        <v>55.484200971778698</v>
      </c>
      <c r="BY112" s="9">
        <f t="shared" si="41"/>
        <v>0.28779235280607335</v>
      </c>
      <c r="BZ112" s="9">
        <f t="shared" si="42"/>
        <v>97.060292053554932</v>
      </c>
      <c r="CA112" s="9">
        <f t="shared" si="43"/>
        <v>1.429101047235207</v>
      </c>
      <c r="CB112" s="9">
        <f t="shared" si="44"/>
        <v>1.5106068992098534</v>
      </c>
      <c r="CC112" s="9"/>
      <c r="CD112" s="8">
        <v>8.9</v>
      </c>
      <c r="CE112" s="9">
        <v>13.3</v>
      </c>
      <c r="CF112" s="132">
        <v>-22</v>
      </c>
      <c r="CG112" s="9"/>
      <c r="CH112" s="8"/>
      <c r="CI112" s="8"/>
      <c r="CJ112" s="8"/>
      <c r="CK112" s="8"/>
      <c r="CL112" s="8"/>
      <c r="CM112" s="31"/>
      <c r="CN112" s="8"/>
      <c r="CO112" s="8"/>
      <c r="CP112" s="8"/>
      <c r="CQ112" s="8"/>
      <c r="CR112" s="128"/>
      <c r="CS112" s="128"/>
      <c r="CT112" s="128"/>
      <c r="CU112" s="137"/>
      <c r="CV112" s="137"/>
    </row>
    <row r="113" spans="1:100" x14ac:dyDescent="0.4">
      <c r="A113" s="26">
        <v>27</v>
      </c>
      <c r="B113" s="44" t="s">
        <v>273</v>
      </c>
      <c r="C113" s="69" t="s">
        <v>274</v>
      </c>
      <c r="D113" s="122" t="s">
        <v>444</v>
      </c>
      <c r="E113" s="76">
        <v>45.424917000000001</v>
      </c>
      <c r="F113" s="42">
        <v>36.480722</v>
      </c>
      <c r="G113" s="8"/>
      <c r="H113" s="41">
        <v>42983</v>
      </c>
      <c r="I113" s="9">
        <f t="shared" si="47"/>
        <v>24.807729874089091</v>
      </c>
      <c r="J113" s="8"/>
      <c r="K113" s="68">
        <f t="shared" si="38"/>
        <v>109.72364151344794</v>
      </c>
      <c r="L113" s="8">
        <v>279</v>
      </c>
      <c r="M113" s="8">
        <v>8.6999999999999993</v>
      </c>
      <c r="N113" s="8"/>
      <c r="O113" s="29">
        <v>10370</v>
      </c>
      <c r="P113" s="30">
        <v>6666</v>
      </c>
      <c r="Q113" s="30">
        <f t="shared" si="45"/>
        <v>58.728565266546518</v>
      </c>
      <c r="R113" s="30">
        <v>4830686.883694116</v>
      </c>
      <c r="S113" s="30">
        <v>930042.18743688648</v>
      </c>
      <c r="T113" s="30">
        <v>7498460.588204056</v>
      </c>
      <c r="U113" s="30">
        <v>84055.068657186333</v>
      </c>
      <c r="V113" s="30">
        <v>362.53041999999999</v>
      </c>
      <c r="W113" s="30"/>
      <c r="X113" s="30"/>
      <c r="Y113" s="30">
        <v>19576.188422182171</v>
      </c>
      <c r="Z113" s="30">
        <v>111373.2331446944</v>
      </c>
      <c r="AA113" s="30">
        <v>19112.418816606263</v>
      </c>
      <c r="AB113" s="9">
        <v>69.224794989256978</v>
      </c>
      <c r="AC113" s="9"/>
      <c r="AD113" s="9">
        <v>6.9070400000000003</v>
      </c>
      <c r="AE113" s="30">
        <v>676.74072574578202</v>
      </c>
      <c r="AF113" s="9">
        <v>7.3064674659656994</v>
      </c>
      <c r="AG113" s="9">
        <v>58.365737780977661</v>
      </c>
      <c r="AH113" s="9">
        <v>21.592199999999998</v>
      </c>
      <c r="AI113" s="9">
        <v>20.420000000000002</v>
      </c>
      <c r="AJ113" s="9"/>
      <c r="AK113" s="9">
        <v>84.217627630144761</v>
      </c>
      <c r="AL113" s="30">
        <v>70013.306111111102</v>
      </c>
      <c r="AM113" s="30">
        <v>1703.6343989185939</v>
      </c>
      <c r="AN113" s="30">
        <v>440.85550000000001</v>
      </c>
      <c r="AO113" s="30">
        <v>274.43973145946876</v>
      </c>
      <c r="AP113" s="30">
        <v>67220.707999999999</v>
      </c>
      <c r="AQ113" s="30">
        <v>322.44900000000001</v>
      </c>
      <c r="AR113" s="30">
        <v>12576.779833333332</v>
      </c>
      <c r="AS113" s="30">
        <v>546.16324999999983</v>
      </c>
      <c r="AT113" s="30"/>
      <c r="AU113" s="30">
        <v>886.96000000000026</v>
      </c>
      <c r="AV113" s="30">
        <v>3629.6080000000002</v>
      </c>
      <c r="AW113" s="30">
        <v>45669.781999999992</v>
      </c>
      <c r="AX113" s="30">
        <v>288.85599999999999</v>
      </c>
      <c r="AY113" s="30">
        <v>173.26012857142857</v>
      </c>
      <c r="AZ113" s="30">
        <v>272.13900000000001</v>
      </c>
      <c r="BA113" s="9">
        <v>56.702000000000005</v>
      </c>
      <c r="BB113" s="30">
        <v>106.66719999999999</v>
      </c>
      <c r="BC113" s="9">
        <v>43.099999999999994</v>
      </c>
      <c r="BD113" s="30"/>
      <c r="BE113" s="30"/>
      <c r="BF113" s="30"/>
      <c r="BG113" s="9">
        <v>19.202000000000002</v>
      </c>
      <c r="BH113" s="9"/>
      <c r="BI113" s="9">
        <v>25.637</v>
      </c>
      <c r="BJ113" s="9"/>
      <c r="BK113" s="9">
        <v>32.700000000000003</v>
      </c>
      <c r="BL113" s="9"/>
      <c r="BM113" s="30">
        <v>1433.0140000000001</v>
      </c>
      <c r="BN113" s="30"/>
      <c r="BO113" s="30"/>
      <c r="BP113" s="30"/>
      <c r="BQ113" s="30"/>
      <c r="BR113" s="9">
        <v>1.512</v>
      </c>
      <c r="BS113" s="9">
        <v>62.299550000000011</v>
      </c>
      <c r="BT113" s="9">
        <v>73.81</v>
      </c>
      <c r="BU113" s="30">
        <v>2681.4550600000002</v>
      </c>
      <c r="BV113" s="30"/>
      <c r="BW113" s="9">
        <f t="shared" si="39"/>
        <v>47.354003195795393</v>
      </c>
      <c r="BX113" s="9">
        <f t="shared" si="40"/>
        <v>52.305183977327594</v>
      </c>
      <c r="BY113" s="9">
        <f t="shared" si="41"/>
        <v>0.34081282687702474</v>
      </c>
      <c r="BZ113" s="9">
        <f t="shared" si="42"/>
        <v>97.643234658366396</v>
      </c>
      <c r="CA113" s="9">
        <f t="shared" si="43"/>
        <v>0.28563789068205631</v>
      </c>
      <c r="CB113" s="9">
        <f t="shared" si="44"/>
        <v>2.0711274509515687</v>
      </c>
      <c r="CC113" s="9"/>
      <c r="CD113" s="8">
        <v>15.2</v>
      </c>
      <c r="CE113" s="9">
        <v>7</v>
      </c>
      <c r="CF113" s="30">
        <v>-14.4</v>
      </c>
      <c r="CG113" s="30"/>
      <c r="CH113" s="8"/>
      <c r="CI113" s="8"/>
      <c r="CJ113" s="8"/>
      <c r="CK113" s="8"/>
      <c r="CL113" s="8"/>
      <c r="CM113" s="31"/>
      <c r="CN113" s="8"/>
      <c r="CO113" s="8"/>
      <c r="CP113" s="8"/>
      <c r="CQ113" s="8"/>
      <c r="CR113" s="9"/>
      <c r="CS113" s="9"/>
      <c r="CT113" s="9"/>
      <c r="CU113" s="9"/>
      <c r="CV113" s="9"/>
    </row>
    <row r="114" spans="1:100" x14ac:dyDescent="0.4">
      <c r="A114" s="26">
        <v>27</v>
      </c>
      <c r="B114" s="44" t="s">
        <v>275</v>
      </c>
      <c r="C114" s="69" t="s">
        <v>276</v>
      </c>
      <c r="D114" s="122" t="s">
        <v>445</v>
      </c>
      <c r="E114" s="76">
        <v>45.422998</v>
      </c>
      <c r="F114" s="42">
        <v>36.477758000000001</v>
      </c>
      <c r="G114" s="30">
        <v>50.514729000000003</v>
      </c>
      <c r="H114" s="41">
        <v>42987</v>
      </c>
      <c r="I114" s="9">
        <f t="shared" si="47"/>
        <v>38.024588529599235</v>
      </c>
      <c r="J114" s="8"/>
      <c r="K114" s="68">
        <f t="shared" si="38"/>
        <v>160.09857201938127</v>
      </c>
      <c r="L114" s="8"/>
      <c r="M114" s="8">
        <v>8.3000000000000007</v>
      </c>
      <c r="N114" s="8"/>
      <c r="O114" s="29">
        <v>12932</v>
      </c>
      <c r="P114" s="30">
        <v>12552</v>
      </c>
      <c r="Q114" s="30">
        <f t="shared" si="45"/>
        <v>110.48473993737859</v>
      </c>
      <c r="R114" s="30">
        <v>8207016.0263580931</v>
      </c>
      <c r="S114" s="30">
        <v>1635951.0217026607</v>
      </c>
      <c r="T114" s="30">
        <v>12290817.850809947</v>
      </c>
      <c r="U114" s="30">
        <v>11161.449910724246</v>
      </c>
      <c r="V114" s="30">
        <v>342.82605000000001</v>
      </c>
      <c r="W114" s="30">
        <v>22825.628732075143</v>
      </c>
      <c r="X114" s="30">
        <v>25696.307770705534</v>
      </c>
      <c r="Y114" s="30">
        <v>36828.24664579286</v>
      </c>
      <c r="Z114" s="30">
        <v>118553.63961038961</v>
      </c>
      <c r="AA114" s="30">
        <v>9570.8493307976605</v>
      </c>
      <c r="AB114" s="30"/>
      <c r="AC114" s="30"/>
      <c r="AD114" s="30">
        <v>25.891599999999997</v>
      </c>
      <c r="AE114" s="30">
        <v>1265.8207357213851</v>
      </c>
      <c r="AF114" s="30"/>
      <c r="AG114" s="30">
        <v>122.15900787002234</v>
      </c>
      <c r="AH114" s="30"/>
      <c r="AI114" s="30">
        <v>337.95000000000005</v>
      </c>
      <c r="AJ114" s="30">
        <v>32.972500000000004</v>
      </c>
      <c r="AK114" s="30">
        <v>162.41733726813291</v>
      </c>
      <c r="AL114" s="30">
        <v>58603.265277777769</v>
      </c>
      <c r="AM114" s="30">
        <v>1866.3600000000001</v>
      </c>
      <c r="AN114" s="30">
        <v>1442.6387500000001</v>
      </c>
      <c r="AO114" s="30">
        <v>1545.3629285714285</v>
      </c>
      <c r="AP114" s="30">
        <v>36011.770000000004</v>
      </c>
      <c r="AQ114" s="30"/>
      <c r="AR114" s="30">
        <v>20736.949583333335</v>
      </c>
      <c r="AS114" s="30"/>
      <c r="AT114" s="30"/>
      <c r="AU114" s="30">
        <v>8945.875</v>
      </c>
      <c r="AV114" s="30">
        <v>3204.02</v>
      </c>
      <c r="AW114" s="30">
        <v>56594.455000000002</v>
      </c>
      <c r="AX114" s="30">
        <v>1408.74</v>
      </c>
      <c r="AY114" s="30">
        <v>2223.3217500000001</v>
      </c>
      <c r="AZ114" s="30">
        <v>4803.8474999999999</v>
      </c>
      <c r="BA114" s="30">
        <v>666.45500000000004</v>
      </c>
      <c r="BB114" s="30">
        <v>2725.2440000000001</v>
      </c>
      <c r="BC114" s="30">
        <v>532.75</v>
      </c>
      <c r="BD114" s="30">
        <v>81.906207915845528</v>
      </c>
      <c r="BE114" s="30">
        <v>491.74750000000006</v>
      </c>
      <c r="BF114" s="30">
        <v>73.284999999999997</v>
      </c>
      <c r="BG114" s="30">
        <v>414.40999999999997</v>
      </c>
      <c r="BH114" s="30">
        <v>65.81750000000001</v>
      </c>
      <c r="BI114" s="30">
        <v>184.49250000000001</v>
      </c>
      <c r="BJ114" s="30"/>
      <c r="BK114" s="30">
        <v>126.25</v>
      </c>
      <c r="BL114" s="30"/>
      <c r="BM114" s="30">
        <v>335.67750000000001</v>
      </c>
      <c r="BN114" s="30"/>
      <c r="BO114" s="30">
        <v>1585.14</v>
      </c>
      <c r="BP114" s="30"/>
      <c r="BQ114" s="30"/>
      <c r="BR114" s="30">
        <v>11.379999999999999</v>
      </c>
      <c r="BS114" s="30">
        <v>137.20887500000001</v>
      </c>
      <c r="BT114" s="30">
        <v>961.02499999999986</v>
      </c>
      <c r="BU114" s="30">
        <v>817.76165000000015</v>
      </c>
      <c r="BV114" s="30"/>
      <c r="BW114" s="9">
        <f t="shared" si="39"/>
        <v>37.331881274088452</v>
      </c>
      <c r="BX114" s="9">
        <f t="shared" si="40"/>
        <v>62.262792154179948</v>
      </c>
      <c r="BY114" s="9">
        <f t="shared" si="41"/>
        <v>0.40532657173159953</v>
      </c>
      <c r="BZ114" s="9">
        <f t="shared" si="42"/>
        <v>99.739473429285994</v>
      </c>
      <c r="CA114" s="9">
        <f t="shared" si="43"/>
        <v>8.9138821246184913E-2</v>
      </c>
      <c r="CB114" s="9">
        <f t="shared" si="44"/>
        <v>0.17138774946781854</v>
      </c>
      <c r="CC114" s="9"/>
      <c r="CD114" s="8">
        <v>16.5</v>
      </c>
      <c r="CE114" s="9">
        <v>4.2</v>
      </c>
      <c r="CF114" s="30">
        <v>-23.6</v>
      </c>
      <c r="CG114" s="30"/>
      <c r="CH114" s="10">
        <v>90.45</v>
      </c>
      <c r="CI114" s="10">
        <v>3.25</v>
      </c>
      <c r="CJ114" s="32">
        <v>1.03E-2</v>
      </c>
      <c r="CK114" s="32">
        <v>1.1999999999999999E-3</v>
      </c>
      <c r="CL114" s="32"/>
      <c r="CM114" s="31"/>
      <c r="CN114" s="31">
        <v>2.4E-2</v>
      </c>
      <c r="CO114" s="10">
        <v>0.77</v>
      </c>
      <c r="CP114" s="10">
        <f>SUM(CH114:CO114)</f>
        <v>94.505499999999998</v>
      </c>
      <c r="CQ114" s="25"/>
      <c r="CR114" s="9"/>
      <c r="CS114" s="128">
        <v>-37.799999999999997</v>
      </c>
      <c r="CT114" s="112">
        <v>-4.0999999999999996</v>
      </c>
      <c r="CU114" s="9"/>
      <c r="CV114" s="9"/>
    </row>
    <row r="115" spans="1:100" x14ac:dyDescent="0.4">
      <c r="A115" s="26">
        <v>27</v>
      </c>
      <c r="B115" s="44" t="s">
        <v>277</v>
      </c>
      <c r="C115" s="69" t="s">
        <v>278</v>
      </c>
      <c r="D115" s="122" t="s">
        <v>446</v>
      </c>
      <c r="E115" s="76">
        <v>45.422942999999997</v>
      </c>
      <c r="F115" s="42">
        <v>36.477615999999998</v>
      </c>
      <c r="G115" s="30">
        <v>53.558101999999998</v>
      </c>
      <c r="H115" s="41">
        <v>42987</v>
      </c>
      <c r="I115" s="9">
        <f t="shared" si="47"/>
        <v>69.065993369400715</v>
      </c>
      <c r="J115" s="8"/>
      <c r="K115" s="68">
        <f t="shared" si="38"/>
        <v>140.82753585475803</v>
      </c>
      <c r="L115" s="8"/>
      <c r="M115" s="8">
        <v>8.4</v>
      </c>
      <c r="N115" s="8"/>
      <c r="O115" s="29">
        <v>7564</v>
      </c>
      <c r="P115" s="30">
        <v>55141</v>
      </c>
      <c r="Q115" s="30">
        <f t="shared" si="45"/>
        <v>48.969387138796911</v>
      </c>
      <c r="R115" s="30">
        <v>7244048.9117250554</v>
      </c>
      <c r="S115" s="30">
        <v>907334.1264399814</v>
      </c>
      <c r="T115" s="30">
        <v>6186823.3923269771</v>
      </c>
      <c r="U115" s="30">
        <v>25847.071116510509</v>
      </c>
      <c r="V115" s="30">
        <v>127.29122000000001</v>
      </c>
      <c r="W115" s="30">
        <v>31489.604672449113</v>
      </c>
      <c r="X115" s="30">
        <v>4125.6471805066112</v>
      </c>
      <c r="Y115" s="30">
        <v>16323.129046265636</v>
      </c>
      <c r="Z115" s="30">
        <v>74158.212205348187</v>
      </c>
      <c r="AA115" s="30">
        <v>25195.306613082634</v>
      </c>
      <c r="AB115" s="9"/>
      <c r="AC115" s="9"/>
      <c r="AD115" s="9">
        <v>7.1814400000000003</v>
      </c>
      <c r="AE115" s="30"/>
      <c r="AF115" s="9">
        <v>7.4831267322305397</v>
      </c>
      <c r="AG115" s="9">
        <v>59.429960000000001</v>
      </c>
      <c r="AH115" s="9"/>
      <c r="AI115" s="9">
        <v>27.900000000000006</v>
      </c>
      <c r="AJ115" s="9">
        <v>59.069000000000003</v>
      </c>
      <c r="AK115" s="30">
        <v>156.32455775062664</v>
      </c>
      <c r="AL115" s="30">
        <v>27943.306111111109</v>
      </c>
      <c r="AM115" s="30">
        <v>3253.1770844097332</v>
      </c>
      <c r="AN115" s="30">
        <v>1521.8555000000001</v>
      </c>
      <c r="AO115" s="30">
        <v>110.00708330257906</v>
      </c>
      <c r="AP115" s="30">
        <v>5180.7079999999996</v>
      </c>
      <c r="AQ115" s="30"/>
      <c r="AR115" s="30">
        <v>17278.779833333334</v>
      </c>
      <c r="AS115" s="30"/>
      <c r="AT115" s="30"/>
      <c r="AU115" s="30">
        <v>1645.9500000000003</v>
      </c>
      <c r="AV115" s="30">
        <v>4533.5230000000001</v>
      </c>
      <c r="AW115" s="30">
        <v>34533.781999999999</v>
      </c>
      <c r="AX115" s="30">
        <v>590.69600000000003</v>
      </c>
      <c r="AY115" s="30">
        <v>226.4944142857143</v>
      </c>
      <c r="AZ115" s="30">
        <v>425.53899999999999</v>
      </c>
      <c r="BA115" s="9">
        <v>83.102000000000004</v>
      </c>
      <c r="BB115" s="30">
        <v>315.69760000000002</v>
      </c>
      <c r="BC115" s="9">
        <v>83.944000000000017</v>
      </c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9">
        <v>25.692320000000002</v>
      </c>
      <c r="BR115" s="9">
        <v>3.1919999999999997</v>
      </c>
      <c r="BS115" s="30">
        <v>106.71315</v>
      </c>
      <c r="BT115" s="9">
        <v>50.45</v>
      </c>
      <c r="BU115" s="30">
        <v>675.19105999999988</v>
      </c>
      <c r="BV115" s="30"/>
      <c r="BW115" s="9">
        <f t="shared" si="39"/>
        <v>7.3884824707298558</v>
      </c>
      <c r="BX115" s="9">
        <f t="shared" si="40"/>
        <v>92.550729649821662</v>
      </c>
      <c r="BY115" s="9">
        <f t="shared" si="41"/>
        <v>6.0787879448485398E-2</v>
      </c>
      <c r="BZ115" s="9">
        <f t="shared" si="42"/>
        <v>98.757707598610196</v>
      </c>
      <c r="CA115" s="9">
        <f t="shared" si="43"/>
        <v>0.46158644640613411</v>
      </c>
      <c r="CB115" s="9">
        <f t="shared" si="44"/>
        <v>0.78070595498367468</v>
      </c>
      <c r="CC115" s="9"/>
      <c r="CD115" s="8">
        <v>13.6</v>
      </c>
      <c r="CE115" s="9">
        <v>11</v>
      </c>
      <c r="CF115" s="30">
        <v>-14.6</v>
      </c>
      <c r="CG115" s="30"/>
      <c r="CH115" s="10"/>
      <c r="CI115" s="10"/>
      <c r="CJ115" s="32"/>
      <c r="CK115" s="32"/>
      <c r="CL115" s="32"/>
      <c r="CM115" s="31"/>
      <c r="CN115" s="31"/>
      <c r="CO115" s="10"/>
      <c r="CP115" s="10"/>
      <c r="CQ115" s="8"/>
      <c r="CR115" s="9"/>
      <c r="CS115" s="128"/>
      <c r="CT115" s="112"/>
      <c r="CU115" s="9"/>
      <c r="CV115" s="9"/>
    </row>
    <row r="116" spans="1:100" x14ac:dyDescent="0.4">
      <c r="A116" s="26">
        <v>27</v>
      </c>
      <c r="B116" s="40" t="s">
        <v>279</v>
      </c>
      <c r="C116" s="69" t="s">
        <v>280</v>
      </c>
      <c r="D116" s="122" t="s">
        <v>446</v>
      </c>
      <c r="E116" s="76">
        <v>45.423124000000001</v>
      </c>
      <c r="F116" s="42">
        <v>36.477528999999997</v>
      </c>
      <c r="G116" s="30">
        <v>56.551867999999999</v>
      </c>
      <c r="H116" s="41">
        <v>44024</v>
      </c>
      <c r="I116" s="9">
        <f t="shared" si="47"/>
        <v>13.212314524731768</v>
      </c>
      <c r="J116" s="27">
        <v>26</v>
      </c>
      <c r="K116" s="68">
        <f t="shared" si="38"/>
        <v>120.21495216792044</v>
      </c>
      <c r="L116" s="8">
        <v>28</v>
      </c>
      <c r="M116" s="8">
        <v>6.7</v>
      </c>
      <c r="N116" s="109" t="s">
        <v>66</v>
      </c>
      <c r="O116" s="110">
        <v>5174.833333333333</v>
      </c>
      <c r="P116" s="30">
        <v>3649</v>
      </c>
      <c r="Q116" s="30">
        <f t="shared" si="45"/>
        <v>14.693228511804957</v>
      </c>
      <c r="R116" s="30">
        <v>3522552.3789403597</v>
      </c>
      <c r="S116" s="30">
        <v>519983.48507165705</v>
      </c>
      <c r="T116" s="30">
        <v>4220159.5954280291</v>
      </c>
      <c r="U116" s="30">
        <v>22055.828866841584</v>
      </c>
      <c r="V116" s="9">
        <v>34.502857142857138</v>
      </c>
      <c r="W116" s="30">
        <v>24884.092805143591</v>
      </c>
      <c r="X116" s="30">
        <v>731.35713855926895</v>
      </c>
      <c r="Y116" s="30">
        <v>4897.7428372683189</v>
      </c>
      <c r="Z116" s="30">
        <v>70417.368746221822</v>
      </c>
      <c r="AA116" s="30">
        <v>61155.169845536075</v>
      </c>
      <c r="AB116" s="9"/>
      <c r="AC116" s="9"/>
      <c r="AD116" s="9">
        <v>47.117142857142859</v>
      </c>
      <c r="AE116" s="30">
        <v>3329.8557617011993</v>
      </c>
      <c r="AF116" s="9"/>
      <c r="AG116" s="9"/>
      <c r="AH116" s="9"/>
      <c r="AI116" s="9"/>
      <c r="AJ116" s="9">
        <v>115.01571428571427</v>
      </c>
      <c r="AK116" s="9">
        <v>76.500579383116872</v>
      </c>
      <c r="AL116" s="30">
        <v>15999.052619047619</v>
      </c>
      <c r="AM116" s="30">
        <v>3252.9494488385571</v>
      </c>
      <c r="AN116" s="30">
        <v>1961.9188735848975</v>
      </c>
      <c r="AO116" s="30"/>
      <c r="AP116" s="30">
        <v>7149.5727272727263</v>
      </c>
      <c r="AQ116" s="9">
        <v>80.621428571428581</v>
      </c>
      <c r="AR116" s="30">
        <v>5966.0425000000014</v>
      </c>
      <c r="AS116" s="30"/>
      <c r="AT116" s="30"/>
      <c r="AU116" s="30"/>
      <c r="AV116" s="30">
        <v>116.14000000000001</v>
      </c>
      <c r="AW116" s="30">
        <v>39569.847200000004</v>
      </c>
      <c r="AX116" s="30">
        <v>829.81428571428569</v>
      </c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9"/>
      <c r="BM116" s="9">
        <v>55.442857142857143</v>
      </c>
      <c r="BN116" s="9"/>
      <c r="BO116" s="9"/>
      <c r="BP116" s="9"/>
      <c r="BQ116" s="9"/>
      <c r="BR116" s="10"/>
      <c r="BS116" s="9"/>
      <c r="BT116" s="9"/>
      <c r="BU116" s="30">
        <v>465.61542857142854</v>
      </c>
      <c r="BV116" s="30"/>
      <c r="BW116" s="9">
        <f t="shared" si="39"/>
        <v>45.141359718444576</v>
      </c>
      <c r="BX116" s="9">
        <f t="shared" si="40"/>
        <v>54.695754153442287</v>
      </c>
      <c r="BY116" s="9">
        <f t="shared" si="41"/>
        <v>0.16288612811313694</v>
      </c>
      <c r="BZ116" s="9">
        <f t="shared" si="42"/>
        <v>97.416423271243076</v>
      </c>
      <c r="CA116" s="9">
        <f t="shared" si="43"/>
        <v>1.6201924362356248</v>
      </c>
      <c r="CB116" s="9">
        <f t="shared" si="44"/>
        <v>0.96338429252131663</v>
      </c>
      <c r="CC116" s="9"/>
      <c r="CD116" s="111">
        <v>7.9</v>
      </c>
      <c r="CE116" s="112">
        <v>12.3</v>
      </c>
      <c r="CF116" s="113">
        <v>-16</v>
      </c>
      <c r="CG116" s="30"/>
      <c r="CH116" s="8">
        <v>63.86</v>
      </c>
      <c r="CI116" s="10">
        <v>34.19</v>
      </c>
      <c r="CJ116" s="32">
        <v>1.1820000000000001E-2</v>
      </c>
      <c r="CK116" s="8"/>
      <c r="CL116" s="31">
        <v>5.704E-2</v>
      </c>
      <c r="CM116" s="31">
        <v>0.1072</v>
      </c>
      <c r="CN116" s="8"/>
      <c r="CO116" s="8">
        <v>1.2410000000000001</v>
      </c>
      <c r="CP116" s="10">
        <f>SUM(CH116:CO116)</f>
        <v>99.467060000000004</v>
      </c>
      <c r="CQ116" s="30"/>
      <c r="CR116" s="9">
        <v>-1.69</v>
      </c>
      <c r="CS116" s="63">
        <v>-37.9</v>
      </c>
      <c r="CT116" s="63">
        <v>-2.2999999999999998</v>
      </c>
      <c r="CU116" s="9"/>
      <c r="CV116" s="9"/>
    </row>
    <row r="117" spans="1:100" ht="27.75" x14ac:dyDescent="0.4">
      <c r="A117" s="26">
        <v>27</v>
      </c>
      <c r="B117" s="44" t="s">
        <v>281</v>
      </c>
      <c r="C117" s="69" t="s">
        <v>282</v>
      </c>
      <c r="D117" s="122" t="s">
        <v>447</v>
      </c>
      <c r="E117" s="76">
        <v>45.423504999999999</v>
      </c>
      <c r="F117" s="42" t="s">
        <v>283</v>
      </c>
      <c r="G117" s="8"/>
      <c r="H117" s="41">
        <v>42983</v>
      </c>
      <c r="I117" s="9">
        <f t="shared" si="47"/>
        <v>20.235152441840455</v>
      </c>
      <c r="J117" s="8"/>
      <c r="K117" s="68">
        <f t="shared" si="38"/>
        <v>114.32991866884424</v>
      </c>
      <c r="L117" s="8">
        <v>244</v>
      </c>
      <c r="M117" s="8">
        <v>9.5</v>
      </c>
      <c r="N117" s="8"/>
      <c r="O117" s="29">
        <v>6344</v>
      </c>
      <c r="P117" s="30">
        <v>6028</v>
      </c>
      <c r="Q117" s="30">
        <f t="shared" si="45"/>
        <v>1338.1893484082789</v>
      </c>
      <c r="R117" s="30">
        <v>1730500.6032014843</v>
      </c>
      <c r="S117" s="30">
        <v>806232.66013764997</v>
      </c>
      <c r="T117" s="30">
        <v>6464856.5196083654</v>
      </c>
      <c r="U117" s="30">
        <v>7873.5079263948064</v>
      </c>
      <c r="V117" s="30">
        <v>167.00082000000003</v>
      </c>
      <c r="W117" s="30"/>
      <c r="X117" s="30"/>
      <c r="Y117" s="30">
        <v>446063.11613609293</v>
      </c>
      <c r="Z117" s="30">
        <v>41487.362786434853</v>
      </c>
      <c r="AA117" s="30">
        <v>10745.70311098353</v>
      </c>
      <c r="AB117" s="9">
        <v>27.797995418518724</v>
      </c>
      <c r="AC117" s="9"/>
      <c r="AD117" s="9">
        <v>4.2806399999999991</v>
      </c>
      <c r="AE117" s="30"/>
      <c r="AF117" s="9">
        <v>3.4550206051465522</v>
      </c>
      <c r="AG117" s="9">
        <v>44.259370977585306</v>
      </c>
      <c r="AH117" s="9">
        <v>85.107799999999997</v>
      </c>
      <c r="AI117" s="30">
        <v>795.2600000000001</v>
      </c>
      <c r="AJ117" s="9"/>
      <c r="AK117" s="9">
        <v>21.369856449421857</v>
      </c>
      <c r="AL117" s="30">
        <v>27707.306111111109</v>
      </c>
      <c r="AM117" s="30">
        <v>350.86399999999998</v>
      </c>
      <c r="AN117" s="9">
        <v>40.975499999999997</v>
      </c>
      <c r="AO117" s="30">
        <v>363.05031428571425</v>
      </c>
      <c r="AP117" s="30">
        <v>29599.151999999998</v>
      </c>
      <c r="AQ117" s="30"/>
      <c r="AR117" s="30">
        <v>166588.77983333333</v>
      </c>
      <c r="AS117" s="30"/>
      <c r="AT117" s="30"/>
      <c r="AU117" s="30">
        <v>1315.9500000000003</v>
      </c>
      <c r="AV117" s="30">
        <v>4949.5230000000001</v>
      </c>
      <c r="AW117" s="30">
        <v>6657.7819999999992</v>
      </c>
      <c r="AX117" s="9">
        <v>98.256000000000014</v>
      </c>
      <c r="AY117" s="30">
        <v>172.20527142857139</v>
      </c>
      <c r="AZ117" s="30">
        <v>414.73900000000003</v>
      </c>
      <c r="BA117" s="9">
        <v>34.901999999999994</v>
      </c>
      <c r="BB117" s="30">
        <v>216.18719999999999</v>
      </c>
      <c r="BC117" s="9">
        <v>66.3</v>
      </c>
      <c r="BD117" s="30"/>
      <c r="BE117" s="30"/>
      <c r="BF117" s="30"/>
      <c r="BG117" s="9">
        <v>34.042000000000002</v>
      </c>
      <c r="BH117" s="9">
        <v>15.727</v>
      </c>
      <c r="BI117" s="9">
        <v>35.756999999999998</v>
      </c>
      <c r="BJ117" s="9"/>
      <c r="BK117" s="9">
        <v>56.419999999999995</v>
      </c>
      <c r="BL117" s="9">
        <v>15.654999999999999</v>
      </c>
      <c r="BM117" s="30">
        <v>208.97399999999999</v>
      </c>
      <c r="BN117" s="30"/>
      <c r="BO117" s="30">
        <v>1020.4560000000001</v>
      </c>
      <c r="BP117" s="30">
        <v>104.095</v>
      </c>
      <c r="BQ117" s="9">
        <v>37.25054999999999</v>
      </c>
      <c r="BR117" s="9"/>
      <c r="BS117" s="9"/>
      <c r="BT117" s="9">
        <v>40.29</v>
      </c>
      <c r="BU117" s="30">
        <v>41933.287060000002</v>
      </c>
      <c r="BV117" s="30"/>
      <c r="BW117" s="9">
        <f t="shared" si="39"/>
        <v>34.47341311843676</v>
      </c>
      <c r="BX117" s="9">
        <f t="shared" si="40"/>
        <v>56.285410151120466</v>
      </c>
      <c r="BY117" s="9">
        <f t="shared" si="41"/>
        <v>9.241176730442767</v>
      </c>
      <c r="BZ117" s="9">
        <f t="shared" si="42"/>
        <v>99.58054565469206</v>
      </c>
      <c r="CA117" s="9">
        <f t="shared" si="43"/>
        <v>0.18996805110954787</v>
      </c>
      <c r="CB117" s="9">
        <f t="shared" si="44"/>
        <v>0.22948629419840835</v>
      </c>
      <c r="CC117" s="9"/>
      <c r="CD117" s="8"/>
      <c r="CE117" s="9"/>
      <c r="CF117" s="30"/>
      <c r="CG117" s="30"/>
      <c r="CH117" s="8"/>
      <c r="CI117" s="8"/>
      <c r="CJ117" s="32"/>
      <c r="CK117" s="8"/>
      <c r="CL117" s="8"/>
      <c r="CM117" s="31"/>
      <c r="CN117" s="8"/>
      <c r="CO117" s="8"/>
      <c r="CP117" s="8"/>
      <c r="CQ117" s="8"/>
      <c r="CR117" s="9"/>
      <c r="CS117" s="9"/>
      <c r="CT117" s="9"/>
      <c r="CU117" s="9"/>
      <c r="CV117" s="9"/>
    </row>
    <row r="118" spans="1:100" x14ac:dyDescent="0.4">
      <c r="A118" s="26">
        <v>28</v>
      </c>
      <c r="B118" s="40" t="s">
        <v>284</v>
      </c>
      <c r="C118" s="69" t="s">
        <v>285</v>
      </c>
      <c r="D118" s="122" t="s">
        <v>448</v>
      </c>
      <c r="E118" s="76">
        <v>45.425888</v>
      </c>
      <c r="F118" s="42">
        <v>36.478755999999997</v>
      </c>
      <c r="G118" s="30">
        <v>57.955818000000001</v>
      </c>
      <c r="H118" s="41">
        <v>44024</v>
      </c>
      <c r="I118" s="8"/>
      <c r="J118" s="8">
        <v>23</v>
      </c>
      <c r="K118" s="68">
        <f t="shared" si="38"/>
        <v>107.91202131581923</v>
      </c>
      <c r="L118" s="8">
        <v>28</v>
      </c>
      <c r="M118" s="21">
        <v>6.73</v>
      </c>
      <c r="N118" s="8"/>
      <c r="O118" s="110">
        <v>6100</v>
      </c>
      <c r="P118" s="30"/>
      <c r="Q118" s="30">
        <f t="shared" si="45"/>
        <v>53.860940293901635</v>
      </c>
      <c r="R118" s="30">
        <v>2885913.2288159798</v>
      </c>
      <c r="S118" s="30">
        <v>504010.50469881704</v>
      </c>
      <c r="T118" s="30">
        <v>4401189.608472622</v>
      </c>
      <c r="U118" s="30">
        <v>34024.387925479532</v>
      </c>
      <c r="V118" s="9">
        <v>40.482857142857142</v>
      </c>
      <c r="W118" s="30">
        <v>27094.251663905321</v>
      </c>
      <c r="X118" s="30"/>
      <c r="Y118" s="30">
        <v>17953.646764633879</v>
      </c>
      <c r="Z118" s="30">
        <v>64066.141572378736</v>
      </c>
      <c r="AA118" s="30">
        <v>42984.773809138307</v>
      </c>
      <c r="AB118" s="9"/>
      <c r="AC118" s="9"/>
      <c r="AD118" s="9">
        <v>31.697142857142858</v>
      </c>
      <c r="AE118" s="30">
        <v>8473.0419033247126</v>
      </c>
      <c r="AF118" s="9"/>
      <c r="AG118" s="9"/>
      <c r="AH118" s="9"/>
      <c r="AI118" s="9"/>
      <c r="AJ118" s="9">
        <v>26.115714285714287</v>
      </c>
      <c r="AK118" s="9">
        <v>37.763135110389598</v>
      </c>
      <c r="AL118" s="30">
        <v>16259.052619047619</v>
      </c>
      <c r="AM118" s="30">
        <v>3557.5326809099752</v>
      </c>
      <c r="AN118" s="30">
        <v>1441.4907808217845</v>
      </c>
      <c r="AO118" s="30"/>
      <c r="AP118" s="30">
        <v>10984.875000000002</v>
      </c>
      <c r="AQ118" s="9"/>
      <c r="AR118" s="30">
        <v>6256.0424999999996</v>
      </c>
      <c r="AS118" s="30"/>
      <c r="AT118" s="30"/>
      <c r="AU118" s="30"/>
      <c r="AV118" s="30">
        <v>222.17714285714288</v>
      </c>
      <c r="AW118" s="30">
        <v>34057.847200000004</v>
      </c>
      <c r="AX118" s="30">
        <v>500.6142857142857</v>
      </c>
      <c r="AY118" s="30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>
        <v>10.26</v>
      </c>
      <c r="BL118" s="9"/>
      <c r="BM118" s="9">
        <v>91.662857142857135</v>
      </c>
      <c r="BN118" s="9"/>
      <c r="BO118" s="9"/>
      <c r="BP118" s="9"/>
      <c r="BQ118" s="9"/>
      <c r="BR118" s="10"/>
      <c r="BS118" s="9"/>
      <c r="BT118" s="9"/>
      <c r="BU118" s="30">
        <v>2123.9994285714288</v>
      </c>
      <c r="BV118" s="30"/>
      <c r="BW118" s="9"/>
      <c r="BX118" s="9"/>
      <c r="BY118" s="9"/>
      <c r="BZ118" s="9">
        <f t="shared" si="42"/>
        <v>97.481328446189366</v>
      </c>
      <c r="CA118" s="9">
        <f t="shared" si="43"/>
        <v>1.092687876850184</v>
      </c>
      <c r="CB118" s="9">
        <f t="shared" si="44"/>
        <v>1.4259836769604575</v>
      </c>
      <c r="CC118" s="9"/>
      <c r="CD118" s="111">
        <v>9</v>
      </c>
      <c r="CE118" s="112">
        <v>12.3</v>
      </c>
      <c r="CF118" s="113">
        <v>-18</v>
      </c>
      <c r="CG118" s="30"/>
      <c r="CH118" s="8">
        <v>59.15</v>
      </c>
      <c r="CI118" s="10">
        <v>40.01</v>
      </c>
      <c r="CJ118" s="32">
        <v>7.2110000000000004E-3</v>
      </c>
      <c r="CK118" s="8"/>
      <c r="CL118" s="8"/>
      <c r="CM118" s="31">
        <v>0.19020000000000001</v>
      </c>
      <c r="CN118" s="8"/>
      <c r="CO118" s="8">
        <v>0.752</v>
      </c>
      <c r="CP118" s="10">
        <f>SUM(CH118:CO118)</f>
        <v>100.10941099999999</v>
      </c>
      <c r="CQ118" s="8"/>
      <c r="CR118" s="9">
        <v>-0.12000000000000001</v>
      </c>
      <c r="CS118" s="63">
        <v>-38.200000000000003</v>
      </c>
      <c r="CT118" s="63">
        <v>-1.9</v>
      </c>
      <c r="CU118" s="9"/>
      <c r="CV118" s="9"/>
    </row>
    <row r="119" spans="1:100" x14ac:dyDescent="0.4">
      <c r="A119" s="26">
        <v>29</v>
      </c>
      <c r="B119" s="44" t="s">
        <v>286</v>
      </c>
      <c r="C119" s="69" t="s">
        <v>287</v>
      </c>
      <c r="D119" s="134" t="s">
        <v>449</v>
      </c>
      <c r="E119" s="76">
        <v>45.426056000000003</v>
      </c>
      <c r="F119" s="42">
        <v>36.473694000000002</v>
      </c>
      <c r="G119" s="46">
        <v>64.936820999999995</v>
      </c>
      <c r="H119" s="41">
        <v>42994</v>
      </c>
      <c r="I119" s="9">
        <f>(O119+P119+Z119/1000+AA119/1000+T119/1000+U119/1000+Y119/1000/32*96)/1000</f>
        <v>10.086682844003526</v>
      </c>
      <c r="J119" s="8">
        <v>20.3</v>
      </c>
      <c r="K119" s="68">
        <f t="shared" si="38"/>
        <v>75.945830473570709</v>
      </c>
      <c r="L119" s="8">
        <v>-90</v>
      </c>
      <c r="M119" s="8">
        <v>8.6</v>
      </c>
      <c r="N119" s="8"/>
      <c r="O119" s="29"/>
      <c r="P119" s="30"/>
      <c r="Q119" s="30">
        <f t="shared" si="45"/>
        <v>1998.2350957817437</v>
      </c>
      <c r="R119" s="30">
        <v>1875233.2591333571</v>
      </c>
      <c r="S119" s="30">
        <v>903809.69850651477</v>
      </c>
      <c r="T119" s="30">
        <v>7835920.6434539817</v>
      </c>
      <c r="U119" s="30">
        <v>164254.62292752601</v>
      </c>
      <c r="V119" s="9">
        <v>94.55922000000001</v>
      </c>
      <c r="W119" s="30">
        <v>13564.137209606417</v>
      </c>
      <c r="X119" s="30">
        <v>4037.6751473549339</v>
      </c>
      <c r="Y119" s="30">
        <v>666078.36526058125</v>
      </c>
      <c r="Z119" s="30">
        <v>56412.350511558543</v>
      </c>
      <c r="AA119" s="30">
        <v>31860.131328716492</v>
      </c>
      <c r="AB119" s="9">
        <v>9.3603559868318609</v>
      </c>
      <c r="AC119" s="9"/>
      <c r="AD119" s="9">
        <v>30.819040000000001</v>
      </c>
      <c r="AE119" s="30">
        <v>5779.0847800016491</v>
      </c>
      <c r="AF119" s="9"/>
      <c r="AG119" s="9">
        <v>27.800824209768422</v>
      </c>
      <c r="AH119" s="9"/>
      <c r="AI119" s="9">
        <v>25.340000000000003</v>
      </c>
      <c r="AJ119" s="9">
        <v>7.149</v>
      </c>
      <c r="AK119" s="30">
        <v>129.66377577472306</v>
      </c>
      <c r="AL119" s="30">
        <v>41453.306111111102</v>
      </c>
      <c r="AM119" s="30">
        <v>2077.620280564734</v>
      </c>
      <c r="AN119" s="30">
        <v>172.19549999999998</v>
      </c>
      <c r="AO119" s="30"/>
      <c r="AP119" s="30">
        <v>61820.708000000006</v>
      </c>
      <c r="AQ119" s="30"/>
      <c r="AR119" s="30">
        <v>40310.779833333334</v>
      </c>
      <c r="AS119" s="30"/>
      <c r="AT119" s="30">
        <v>662.29382061625404</v>
      </c>
      <c r="AU119" s="30">
        <v>855.55000000000018</v>
      </c>
      <c r="AV119" s="30">
        <v>1628.008</v>
      </c>
      <c r="AW119" s="30">
        <v>11069.781999999999</v>
      </c>
      <c r="AX119" s="30">
        <v>136.57599999999999</v>
      </c>
      <c r="AY119" s="30"/>
      <c r="AZ119" s="30"/>
      <c r="BA119" s="9"/>
      <c r="BB119" s="30"/>
      <c r="BC119" s="9"/>
      <c r="BD119" s="30"/>
      <c r="BE119" s="30"/>
      <c r="BF119" s="30"/>
      <c r="BG119" s="9"/>
      <c r="BH119" s="9"/>
      <c r="BI119" s="9"/>
      <c r="BJ119" s="9"/>
      <c r="BK119" s="9">
        <v>20.362000000000002</v>
      </c>
      <c r="BL119" s="9"/>
      <c r="BM119" s="30">
        <v>303.81399999999996</v>
      </c>
      <c r="BN119" s="30"/>
      <c r="BO119" s="30">
        <v>613.35399999999993</v>
      </c>
      <c r="BP119" s="9">
        <v>41.855000000000004</v>
      </c>
      <c r="BQ119" s="9"/>
      <c r="BR119" s="9">
        <v>1.472</v>
      </c>
      <c r="BS119" s="9"/>
      <c r="BT119" s="9"/>
      <c r="BU119" s="30">
        <v>5694.4870600000004</v>
      </c>
      <c r="BV119" s="30"/>
      <c r="BW119" s="9">
        <f>O119/61/(O119/61+P119/35.5+Q119/96*2)*100</f>
        <v>0</v>
      </c>
      <c r="BX119" s="9">
        <f>P119/35.5/(O119/61+P119/35.5+Q119/96*2)*100</f>
        <v>0</v>
      </c>
      <c r="BY119" s="9">
        <f>Q119/96*2/(O119/61+P119/35.5+Q119/96*2)*100</f>
        <v>100</v>
      </c>
      <c r="BZ119" s="9">
        <f t="shared" si="42"/>
        <v>95.755097933980053</v>
      </c>
      <c r="CA119" s="9">
        <f t="shared" si="43"/>
        <v>0.44683744115918678</v>
      </c>
      <c r="CB119" s="9">
        <f t="shared" si="44"/>
        <v>3.7980646248607481</v>
      </c>
      <c r="CC119" s="9"/>
      <c r="CD119" s="8"/>
      <c r="CE119" s="9"/>
      <c r="CF119" s="30"/>
      <c r="CG119" s="30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9"/>
      <c r="CS119" s="9"/>
      <c r="CT119" s="9"/>
      <c r="CU119" s="9"/>
      <c r="CV119" s="9"/>
    </row>
    <row r="120" spans="1:100" x14ac:dyDescent="0.4">
      <c r="A120" s="26">
        <v>29</v>
      </c>
      <c r="B120" s="40" t="s">
        <v>288</v>
      </c>
      <c r="C120" s="69" t="s">
        <v>289</v>
      </c>
      <c r="D120" s="122" t="s">
        <v>451</v>
      </c>
      <c r="E120" s="76">
        <v>45.426071</v>
      </c>
      <c r="F120" s="42">
        <v>36.473762000000001</v>
      </c>
      <c r="G120" s="30">
        <v>64.115630999999993</v>
      </c>
      <c r="H120" s="41">
        <v>44027</v>
      </c>
      <c r="I120" s="8"/>
      <c r="J120" s="8"/>
      <c r="K120" s="68"/>
      <c r="L120" s="8"/>
      <c r="M120" s="8"/>
      <c r="N120" s="8"/>
      <c r="O120" s="110"/>
      <c r="P120" s="30"/>
      <c r="Q120" s="30"/>
      <c r="R120" s="30"/>
      <c r="S120" s="30"/>
      <c r="T120" s="30"/>
      <c r="U120" s="30"/>
      <c r="V120" s="9"/>
      <c r="W120" s="30"/>
      <c r="X120" s="30"/>
      <c r="Y120" s="30"/>
      <c r="Z120" s="30"/>
      <c r="AA120" s="30"/>
      <c r="AB120" s="9"/>
      <c r="AC120" s="9"/>
      <c r="AD120" s="9"/>
      <c r="AE120" s="30"/>
      <c r="AF120" s="9"/>
      <c r="AG120" s="9"/>
      <c r="AH120" s="9"/>
      <c r="AI120" s="9"/>
      <c r="AJ120" s="9"/>
      <c r="AK120" s="9"/>
      <c r="AL120" s="30"/>
      <c r="AM120" s="30"/>
      <c r="AN120" s="30"/>
      <c r="AO120" s="30"/>
      <c r="AP120" s="30"/>
      <c r="AQ120" s="9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9"/>
      <c r="BM120" s="9"/>
      <c r="BN120" s="9"/>
      <c r="BO120" s="9"/>
      <c r="BP120" s="9"/>
      <c r="BQ120" s="9"/>
      <c r="BR120" s="10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8"/>
      <c r="CE120" s="9"/>
      <c r="CF120" s="30"/>
      <c r="CG120" s="9"/>
      <c r="CH120" s="8">
        <v>86.6</v>
      </c>
      <c r="CI120" s="10">
        <v>12.51</v>
      </c>
      <c r="CJ120" s="8">
        <v>8.2430000000000003E-3</v>
      </c>
      <c r="CK120" s="8"/>
      <c r="CL120" s="31">
        <v>9.5649999999999999E-2</v>
      </c>
      <c r="CM120" s="31">
        <v>0.19359999999999999</v>
      </c>
      <c r="CN120" s="8"/>
      <c r="CO120" s="8">
        <v>0.78979999999999995</v>
      </c>
      <c r="CP120" s="10">
        <f t="shared" ref="CP120:CP129" si="48">SUM(CH120:CO120)</f>
        <v>100.197293</v>
      </c>
      <c r="CQ120" s="8"/>
      <c r="CR120" s="9"/>
      <c r="CS120" s="63">
        <v>-38.9</v>
      </c>
      <c r="CT120" s="63">
        <v>7.8</v>
      </c>
      <c r="CU120" s="9"/>
      <c r="CV120" s="9"/>
    </row>
    <row r="121" spans="1:100" x14ac:dyDescent="0.4">
      <c r="A121" s="26">
        <v>30</v>
      </c>
      <c r="B121" s="40" t="s">
        <v>290</v>
      </c>
      <c r="C121" s="71" t="s">
        <v>291</v>
      </c>
      <c r="D121" s="122" t="s">
        <v>450</v>
      </c>
      <c r="E121" s="76">
        <v>45.424660000000003</v>
      </c>
      <c r="F121" s="42">
        <v>36.464379999999998</v>
      </c>
      <c r="G121" s="46">
        <v>86.200760000000002</v>
      </c>
      <c r="H121" s="41">
        <v>42206</v>
      </c>
      <c r="I121" s="9">
        <f>(O121+P121+Z121/1000+AA121/1000+T121/1000+U121/1000+Y121/1000/32*96)/1000</f>
        <v>24.466365468856001</v>
      </c>
      <c r="J121" s="8">
        <v>24</v>
      </c>
      <c r="K121" s="68">
        <f t="shared" ref="K121:K139" si="49">2200/(LOG(((U121/1000)^0.5)/(R121/1000000))+5.47)-273</f>
        <v>81.843195275806352</v>
      </c>
      <c r="L121" s="8">
        <v>33</v>
      </c>
      <c r="M121" s="10">
        <v>7.9</v>
      </c>
      <c r="N121" s="10">
        <v>0.1</v>
      </c>
      <c r="O121" s="29">
        <v>9150</v>
      </c>
      <c r="P121" s="30">
        <v>7446</v>
      </c>
      <c r="Q121" s="30">
        <f>Y121/32*96/1000</f>
        <v>31.813523633811386</v>
      </c>
      <c r="R121" s="30">
        <v>2385916.1081534401</v>
      </c>
      <c r="S121" s="30">
        <v>582015.52456016117</v>
      </c>
      <c r="T121" s="30">
        <v>7540598.6134395702</v>
      </c>
      <c r="U121" s="30">
        <v>164117.00740649583</v>
      </c>
      <c r="V121" s="30">
        <v>463.14079685267808</v>
      </c>
      <c r="W121" s="30">
        <v>9458.8860772435673</v>
      </c>
      <c r="X121" s="30"/>
      <c r="Y121" s="30">
        <v>10604.507877937129</v>
      </c>
      <c r="Z121" s="30">
        <v>111788.92916285781</v>
      </c>
      <c r="AA121" s="30">
        <v>22047.395213268199</v>
      </c>
      <c r="AB121" s="30"/>
      <c r="AC121" s="30"/>
      <c r="AD121" s="9">
        <v>7.0213623703028025</v>
      </c>
      <c r="AE121" s="30">
        <v>326.84473775590988</v>
      </c>
      <c r="AF121" s="30"/>
      <c r="AG121" s="30"/>
      <c r="AH121" s="30"/>
      <c r="AI121" s="30"/>
      <c r="AJ121" s="9">
        <v>3.7376294645038639</v>
      </c>
      <c r="AK121" s="9">
        <v>50.23755703884342</v>
      </c>
      <c r="AL121" s="30">
        <v>30566.266861508171</v>
      </c>
      <c r="AM121" s="30">
        <v>1720.2374165505141</v>
      </c>
      <c r="AN121" s="30">
        <v>611.70014729459615</v>
      </c>
      <c r="AO121" s="9"/>
      <c r="AP121" s="9">
        <v>81559.266296064452</v>
      </c>
      <c r="AQ121" s="9"/>
      <c r="AR121" s="9">
        <v>10659.511263499095</v>
      </c>
      <c r="AS121" s="9"/>
      <c r="AT121" s="9"/>
      <c r="AU121" s="9">
        <v>2719.0362364873299</v>
      </c>
      <c r="AV121" s="9">
        <v>1811.8312697352649</v>
      </c>
      <c r="AW121" s="30">
        <f>1000*16.2543451782777</f>
        <v>16254.345178277699</v>
      </c>
      <c r="AX121" s="30">
        <v>242.66077955412933</v>
      </c>
      <c r="AY121" s="3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9"/>
      <c r="BS121" s="10"/>
      <c r="BT121" s="10"/>
      <c r="BU121" s="10">
        <v>495.16080272646246</v>
      </c>
      <c r="BV121" s="10"/>
      <c r="BW121" s="9">
        <f>O121/61/(O121/61+P121/35.5+Q121/96*2)*100</f>
        <v>41.619352328457623</v>
      </c>
      <c r="BX121" s="9">
        <f>P121/35.5/(O121/61+P121/35.5+Q121/96*2)*100</f>
        <v>58.196750692524965</v>
      </c>
      <c r="BY121" s="9">
        <f>Q121/96*2/(O121/61+P121/35.5+Q121/96*2)*100</f>
        <v>0.18389697901740412</v>
      </c>
      <c r="BZ121" s="9">
        <f t="shared" ref="BZ121:BZ139" si="50">T121/23/(T121/23+U121/24.31*2+AA121/40.08*2)*100</f>
        <v>95.736019173115324</v>
      </c>
      <c r="CA121" s="9">
        <f t="shared" ref="CA121:CA139" si="51">AA121/40.08*2/(T121/23+U121/24.31*2+AA121/40.08*2)*100</f>
        <v>0.32126021606370797</v>
      </c>
      <c r="CB121" s="9">
        <f t="shared" ref="CB121:CB139" si="52">U121/24.31*2/(T121/23+U121/24.31*2+AA121/40.08*2)*100</f>
        <v>3.9427206108209587</v>
      </c>
      <c r="CC121" s="9"/>
      <c r="CD121" s="8">
        <v>15.4</v>
      </c>
      <c r="CE121" s="9">
        <v>8.8000000000000007</v>
      </c>
      <c r="CF121" s="132">
        <v>-14</v>
      </c>
      <c r="CG121" s="10"/>
      <c r="CH121" s="10">
        <v>80.7</v>
      </c>
      <c r="CI121" s="27">
        <v>18.47</v>
      </c>
      <c r="CJ121" s="27">
        <v>8.8999999999999999E-3</v>
      </c>
      <c r="CK121" s="27"/>
      <c r="CL121" s="27"/>
      <c r="CM121" s="27"/>
      <c r="CN121" s="27">
        <v>0.01</v>
      </c>
      <c r="CO121" s="27">
        <v>0.56999999999999995</v>
      </c>
      <c r="CP121" s="10">
        <f t="shared" si="48"/>
        <v>99.758899999999997</v>
      </c>
      <c r="CQ121" s="10"/>
      <c r="CR121" s="9">
        <v>-2.121</v>
      </c>
      <c r="CS121" s="128"/>
      <c r="CT121" s="128"/>
      <c r="CU121" s="137"/>
      <c r="CV121" s="137"/>
    </row>
    <row r="122" spans="1:100" x14ac:dyDescent="0.4">
      <c r="A122" s="26">
        <v>31</v>
      </c>
      <c r="B122" s="40" t="s">
        <v>292</v>
      </c>
      <c r="C122" s="69" t="s">
        <v>293</v>
      </c>
      <c r="D122" s="122" t="s">
        <v>452</v>
      </c>
      <c r="E122" s="76">
        <v>45.440499000000003</v>
      </c>
      <c r="F122" s="42">
        <v>36.438071999999998</v>
      </c>
      <c r="G122" s="30">
        <v>2.8425479999999999</v>
      </c>
      <c r="H122" s="41">
        <v>42205</v>
      </c>
      <c r="I122" s="9"/>
      <c r="J122" s="8"/>
      <c r="K122" s="68">
        <f t="shared" si="49"/>
        <v>103.06802903739418</v>
      </c>
      <c r="L122" s="8"/>
      <c r="M122" s="10"/>
      <c r="N122" s="10"/>
      <c r="O122" s="29"/>
      <c r="P122" s="30"/>
      <c r="Q122" s="30">
        <f>Y122/32*96/1000</f>
        <v>1.9389475530169229</v>
      </c>
      <c r="R122" s="30">
        <v>3063348.4418805698</v>
      </c>
      <c r="S122" s="30">
        <v>429378.21485051134</v>
      </c>
      <c r="T122" s="30">
        <v>4328076.3955119699</v>
      </c>
      <c r="U122" s="30">
        <v>54001.222775670627</v>
      </c>
      <c r="V122" s="30">
        <v>185.24426094761384</v>
      </c>
      <c r="W122" s="30">
        <v>8963.0140837870313</v>
      </c>
      <c r="X122" s="30"/>
      <c r="Y122" s="30">
        <v>646.31585100564098</v>
      </c>
      <c r="Z122" s="30">
        <v>136228.71434657605</v>
      </c>
      <c r="AA122" s="30">
        <v>177114.87787184987</v>
      </c>
      <c r="AB122" s="30"/>
      <c r="AC122" s="30"/>
      <c r="AD122" s="30">
        <v>321.06919224770968</v>
      </c>
      <c r="AE122" s="30">
        <v>190.07465642404355</v>
      </c>
      <c r="AF122" s="30"/>
      <c r="AG122" s="30"/>
      <c r="AH122" s="30"/>
      <c r="AI122" s="30"/>
      <c r="AJ122" s="9">
        <v>234.76081132369094</v>
      </c>
      <c r="AK122" s="9"/>
      <c r="AL122" s="30">
        <v>15570.448675391035</v>
      </c>
      <c r="AM122" s="30">
        <v>4047.5437590757274</v>
      </c>
      <c r="AN122" s="30">
        <v>3817.1922375547069</v>
      </c>
      <c r="AO122" s="10"/>
      <c r="AP122" s="9">
        <v>2838.6463048319147</v>
      </c>
      <c r="AQ122" s="9"/>
      <c r="AR122" s="9"/>
      <c r="AS122" s="9"/>
      <c r="AT122" s="9"/>
      <c r="AU122" s="9">
        <v>1099.8526004237167</v>
      </c>
      <c r="AV122" s="10"/>
      <c r="AW122" s="30">
        <f>1000*345.039259461956</f>
        <v>345039.25946195604</v>
      </c>
      <c r="AX122" s="30">
        <v>92131.633204151338</v>
      </c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9"/>
      <c r="BS122" s="10"/>
      <c r="BT122" s="10"/>
      <c r="BU122" s="10"/>
      <c r="BV122" s="10"/>
      <c r="BW122" s="9"/>
      <c r="BX122" s="9"/>
      <c r="BY122" s="9"/>
      <c r="BZ122" s="9">
        <f t="shared" si="50"/>
        <v>93.407666460778287</v>
      </c>
      <c r="CA122" s="9">
        <f t="shared" si="51"/>
        <v>4.3870518509527106</v>
      </c>
      <c r="CB122" s="9">
        <f t="shared" si="52"/>
        <v>2.2052816882690078</v>
      </c>
      <c r="CC122" s="9"/>
      <c r="CD122" s="8">
        <v>10.6</v>
      </c>
      <c r="CE122" s="9">
        <v>13.5</v>
      </c>
      <c r="CF122" s="132">
        <v>-21</v>
      </c>
      <c r="CG122" s="10"/>
      <c r="CH122" s="10">
        <v>61.53</v>
      </c>
      <c r="CI122" s="27">
        <v>37.06</v>
      </c>
      <c r="CJ122" s="27">
        <v>1.2E-2</v>
      </c>
      <c r="CK122" s="27"/>
      <c r="CL122" s="27"/>
      <c r="CM122" s="27"/>
      <c r="CN122" s="27">
        <v>0.02</v>
      </c>
      <c r="CO122" s="27">
        <v>0.50700000000000001</v>
      </c>
      <c r="CP122" s="10">
        <f t="shared" si="48"/>
        <v>99.129000000000005</v>
      </c>
      <c r="CQ122" s="10"/>
      <c r="CR122" s="9">
        <v>-2.4449999999999998</v>
      </c>
      <c r="CS122" s="128">
        <v>-39.700000000000003</v>
      </c>
      <c r="CT122" s="128">
        <v>-1.7</v>
      </c>
      <c r="CU122" s="137">
        <v>-19.3</v>
      </c>
      <c r="CV122" s="137"/>
    </row>
    <row r="123" spans="1:100" x14ac:dyDescent="0.4">
      <c r="A123" s="26">
        <v>31</v>
      </c>
      <c r="B123" s="44" t="s">
        <v>294</v>
      </c>
      <c r="C123" s="69" t="s">
        <v>293</v>
      </c>
      <c r="D123" s="122" t="s">
        <v>453</v>
      </c>
      <c r="E123" s="76">
        <v>45.440458</v>
      </c>
      <c r="F123" s="42">
        <v>36.438094</v>
      </c>
      <c r="G123" s="30">
        <v>2.8425479999999999</v>
      </c>
      <c r="H123" s="41">
        <v>42989</v>
      </c>
      <c r="I123" s="9">
        <f>(O123+P123+Z123/1000+AA123/1000+T123/1000+U123/1000+Y123/1000/32*96)/1000</f>
        <v>12.999973971396527</v>
      </c>
      <c r="J123" s="8"/>
      <c r="K123" s="68">
        <f t="shared" si="49"/>
        <v>107.82042718958917</v>
      </c>
      <c r="L123" s="8"/>
      <c r="M123" s="8">
        <v>7.8</v>
      </c>
      <c r="N123" s="8"/>
      <c r="O123" s="29">
        <v>4270</v>
      </c>
      <c r="P123" s="30">
        <v>4609</v>
      </c>
      <c r="Q123" s="30"/>
      <c r="R123" s="30">
        <v>3534842.2479533656</v>
      </c>
      <c r="S123" s="30">
        <v>430900.53907525388</v>
      </c>
      <c r="T123" s="30">
        <v>3937420.9715967532</v>
      </c>
      <c r="U123" s="30">
        <v>51373.852365118088</v>
      </c>
      <c r="V123" s="9">
        <v>48.98481000000001</v>
      </c>
      <c r="W123" s="30">
        <v>12603.844309811273</v>
      </c>
      <c r="X123" s="30"/>
      <c r="Y123" s="30"/>
      <c r="Z123" s="30">
        <v>110244.88355722799</v>
      </c>
      <c r="AA123" s="30">
        <v>21934.263877426529</v>
      </c>
      <c r="AB123" s="9">
        <v>8.1533795926606896</v>
      </c>
      <c r="AC123" s="9">
        <v>17.319000000000003</v>
      </c>
      <c r="AD123" s="9"/>
      <c r="AE123" s="30"/>
      <c r="AF123" s="30"/>
      <c r="AG123" s="9"/>
      <c r="AH123" s="9"/>
      <c r="AI123" s="9"/>
      <c r="AJ123" s="30">
        <v>283.0745</v>
      </c>
      <c r="AK123" s="9"/>
      <c r="AL123" s="30">
        <v>18635.653055555555</v>
      </c>
      <c r="AM123" s="30">
        <v>2711.4121528987689</v>
      </c>
      <c r="AN123" s="30">
        <v>2283.6568584070797</v>
      </c>
      <c r="AO123" s="30"/>
      <c r="AP123" s="30">
        <v>3544.3539999999994</v>
      </c>
      <c r="AQ123" s="30"/>
      <c r="AR123" s="30">
        <v>604.6899166666667</v>
      </c>
      <c r="AS123" s="30"/>
      <c r="AT123" s="30"/>
      <c r="AU123" s="30">
        <v>729.48000000000025</v>
      </c>
      <c r="AV123" s="9">
        <v>44.184000000000012</v>
      </c>
      <c r="AW123" s="30">
        <v>370494.891</v>
      </c>
      <c r="AX123" s="30">
        <v>95552.148000000001</v>
      </c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9">
        <v>45.155500000000004</v>
      </c>
      <c r="BN123" s="30"/>
      <c r="BO123" s="30"/>
      <c r="BP123" s="30"/>
      <c r="BQ123" s="9"/>
      <c r="BR123" s="10"/>
      <c r="BS123" s="9"/>
      <c r="BT123" s="9"/>
      <c r="BU123" s="9">
        <v>18.294129999999999</v>
      </c>
      <c r="BV123" s="9"/>
      <c r="BW123" s="9">
        <f t="shared" ref="BW123:BW139" si="53">O123/61/(O123/61+P123/35.5+Q123/96*2)*100</f>
        <v>35.029602480969835</v>
      </c>
      <c r="BX123" s="9">
        <f t="shared" ref="BX123:BX139" si="54">P123/35.5/(O123/61+P123/35.5+Q123/96*2)*100</f>
        <v>64.970397519030172</v>
      </c>
      <c r="BY123" s="9">
        <f t="shared" ref="BY123:BY139" si="55">Q123/96*2/(O123/61+P123/35.5+Q123/96*2)*100</f>
        <v>0</v>
      </c>
      <c r="BZ123" s="9">
        <f t="shared" si="50"/>
        <v>96.985447907649359</v>
      </c>
      <c r="CA123" s="9">
        <f t="shared" si="51"/>
        <v>0.62008026350836598</v>
      </c>
      <c r="CB123" s="9">
        <f t="shared" si="52"/>
        <v>2.3944718288422817</v>
      </c>
      <c r="CC123" s="9"/>
      <c r="CD123" s="8">
        <v>11.7</v>
      </c>
      <c r="CE123" s="9">
        <v>14</v>
      </c>
      <c r="CF123" s="30">
        <v>-21.7</v>
      </c>
      <c r="CG123" s="9"/>
      <c r="CH123" s="10">
        <v>57.25</v>
      </c>
      <c r="CI123" s="10">
        <v>41.677</v>
      </c>
      <c r="CJ123" s="31">
        <v>1.1749000000000001E-2</v>
      </c>
      <c r="CK123" s="32"/>
      <c r="CL123" s="32"/>
      <c r="CM123" s="32"/>
      <c r="CN123" s="31">
        <v>2.4496E-2</v>
      </c>
      <c r="CO123" s="10">
        <v>0.68764000000000003</v>
      </c>
      <c r="CP123" s="10">
        <f t="shared" si="48"/>
        <v>99.650884999999988</v>
      </c>
      <c r="CQ123" s="25"/>
      <c r="CR123" s="9"/>
      <c r="CS123" s="128">
        <v>-37.5</v>
      </c>
      <c r="CT123" s="112">
        <v>-1.1000000000000001</v>
      </c>
      <c r="CU123" s="9"/>
      <c r="CV123" s="9"/>
    </row>
    <row r="124" spans="1:100" x14ac:dyDescent="0.4">
      <c r="A124" s="26">
        <v>31</v>
      </c>
      <c r="B124" s="40" t="s">
        <v>295</v>
      </c>
      <c r="C124" s="69" t="s">
        <v>293</v>
      </c>
      <c r="D124" s="122" t="s">
        <v>454</v>
      </c>
      <c r="E124" s="76">
        <v>45.440451000000003</v>
      </c>
      <c r="F124" s="42">
        <v>36.438068000000001</v>
      </c>
      <c r="G124" s="30">
        <v>2.8425479999999999</v>
      </c>
      <c r="H124" s="41">
        <v>44028</v>
      </c>
      <c r="I124" s="8"/>
      <c r="J124" s="8"/>
      <c r="K124" s="68">
        <f t="shared" si="49"/>
        <v>101.25898472606991</v>
      </c>
      <c r="L124" s="8">
        <v>234</v>
      </c>
      <c r="M124" s="8">
        <v>7.13</v>
      </c>
      <c r="N124" s="109" t="s">
        <v>66</v>
      </c>
      <c r="O124" s="110">
        <v>3934.5</v>
      </c>
      <c r="P124" s="30">
        <v>4531</v>
      </c>
      <c r="Q124" s="30"/>
      <c r="R124" s="30">
        <v>2811490.1354460809</v>
      </c>
      <c r="S124" s="30">
        <v>456743.03010228818</v>
      </c>
      <c r="T124" s="30">
        <v>4487681.7258161511</v>
      </c>
      <c r="U124" s="30">
        <v>51812.901385759287</v>
      </c>
      <c r="V124" s="9">
        <v>31.742857142857144</v>
      </c>
      <c r="W124" s="30">
        <v>10957.818668759957</v>
      </c>
      <c r="X124" s="30"/>
      <c r="Y124" s="30"/>
      <c r="Z124" s="30">
        <v>115125.08786913488</v>
      </c>
      <c r="AA124" s="30">
        <v>71578.666493960685</v>
      </c>
      <c r="AB124" s="9"/>
      <c r="AC124" s="9"/>
      <c r="AD124" s="9">
        <v>8.4571428571428555</v>
      </c>
      <c r="AE124" s="30"/>
      <c r="AF124" s="9"/>
      <c r="AG124" s="9"/>
      <c r="AH124" s="9"/>
      <c r="AI124" s="9"/>
      <c r="AJ124" s="30">
        <v>256.47571428571428</v>
      </c>
      <c r="AK124" s="9"/>
      <c r="AL124" s="30">
        <v>15921.052619047621</v>
      </c>
      <c r="AM124" s="30">
        <v>3773.2213901059772</v>
      </c>
      <c r="AN124" s="30">
        <v>3491.6228613271769</v>
      </c>
      <c r="AO124" s="30"/>
      <c r="AP124" s="30">
        <v>1436.6750000000002</v>
      </c>
      <c r="AQ124" s="9"/>
      <c r="AR124" s="30"/>
      <c r="AS124" s="30"/>
      <c r="AT124" s="30"/>
      <c r="AU124" s="30"/>
      <c r="AV124" s="30"/>
      <c r="AW124" s="30">
        <v>339297.84720000002</v>
      </c>
      <c r="AX124" s="30">
        <v>78851.614285714284</v>
      </c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9"/>
      <c r="BM124" s="9"/>
      <c r="BN124" s="9"/>
      <c r="BO124" s="9"/>
      <c r="BP124" s="9"/>
      <c r="BQ124" s="9"/>
      <c r="BR124" s="10"/>
      <c r="BS124" s="9"/>
      <c r="BT124" s="9"/>
      <c r="BU124" s="9">
        <v>15.732228571428571</v>
      </c>
      <c r="BV124" s="9"/>
      <c r="BW124" s="9">
        <f t="shared" si="53"/>
        <v>33.570355166220722</v>
      </c>
      <c r="BX124" s="9">
        <f t="shared" si="54"/>
        <v>66.429644833779278</v>
      </c>
      <c r="BY124" s="9">
        <f t="shared" si="55"/>
        <v>0</v>
      </c>
      <c r="BZ124" s="9">
        <f t="shared" si="50"/>
        <v>96.139723759578914</v>
      </c>
      <c r="CA124" s="9">
        <f t="shared" si="51"/>
        <v>1.7599265521641803</v>
      </c>
      <c r="CB124" s="9">
        <f t="shared" si="52"/>
        <v>2.1003496882569141</v>
      </c>
      <c r="CC124" s="9"/>
      <c r="CD124" s="111">
        <v>14.8</v>
      </c>
      <c r="CE124" s="112">
        <v>12.7</v>
      </c>
      <c r="CF124" s="113">
        <v>-19</v>
      </c>
      <c r="CG124" s="9"/>
      <c r="CH124" s="8">
        <v>59.69</v>
      </c>
      <c r="CI124" s="10">
        <v>39.22</v>
      </c>
      <c r="CJ124" s="31">
        <v>1.1950000000000001E-2</v>
      </c>
      <c r="CK124" s="8"/>
      <c r="CL124" s="8"/>
      <c r="CM124" s="10">
        <v>0.106</v>
      </c>
      <c r="CN124" s="8"/>
      <c r="CO124" s="8">
        <v>1.032</v>
      </c>
      <c r="CP124" s="10">
        <f t="shared" si="48"/>
        <v>100.05994999999999</v>
      </c>
      <c r="CQ124" s="30"/>
      <c r="CR124" s="9"/>
      <c r="CS124" s="63">
        <v>-38.5</v>
      </c>
      <c r="CT124" s="63">
        <v>0.3</v>
      </c>
      <c r="CU124" s="9"/>
      <c r="CV124" s="9"/>
    </row>
    <row r="125" spans="1:100" x14ac:dyDescent="0.4">
      <c r="A125" s="26">
        <v>31</v>
      </c>
      <c r="B125" s="44" t="s">
        <v>296</v>
      </c>
      <c r="C125" s="69" t="s">
        <v>297</v>
      </c>
      <c r="D125" s="122" t="s">
        <v>455</v>
      </c>
      <c r="E125" s="76">
        <v>45.440700999999997</v>
      </c>
      <c r="F125" s="42">
        <v>36.437739000000001</v>
      </c>
      <c r="G125" s="30">
        <v>2</v>
      </c>
      <c r="H125" s="41">
        <v>42989</v>
      </c>
      <c r="I125" s="9">
        <f>(O125+P125+Z125/1000+AA125/1000+T125/1000+U125/1000+Y125/1000/32*96)/1000</f>
        <v>16.054353930246858</v>
      </c>
      <c r="J125" s="8"/>
      <c r="K125" s="68">
        <f t="shared" si="49"/>
        <v>112.15036683473261</v>
      </c>
      <c r="L125" s="8"/>
      <c r="M125" s="8">
        <v>7.8</v>
      </c>
      <c r="N125" s="8"/>
      <c r="O125" s="29">
        <v>5368</v>
      </c>
      <c r="P125" s="30">
        <v>5319</v>
      </c>
      <c r="Q125" s="30"/>
      <c r="R125" s="30">
        <v>4414589.9823094709</v>
      </c>
      <c r="S125" s="30">
        <v>618646.73671827209</v>
      </c>
      <c r="T125" s="30">
        <v>5075752.0783437248</v>
      </c>
      <c r="U125" s="30">
        <v>59414.211596090761</v>
      </c>
      <c r="V125" s="9">
        <v>67.040820000000011</v>
      </c>
      <c r="W125" s="30">
        <v>8880.041842827879</v>
      </c>
      <c r="X125" s="30"/>
      <c r="Y125" s="30"/>
      <c r="Z125" s="30">
        <v>138905.71415253417</v>
      </c>
      <c r="AA125" s="30">
        <v>93281.926154508576</v>
      </c>
      <c r="AB125" s="9">
        <v>18.673915511595677</v>
      </c>
      <c r="AC125" s="9"/>
      <c r="AD125" s="9">
        <v>67.39264</v>
      </c>
      <c r="AE125" s="30"/>
      <c r="AF125" s="9"/>
      <c r="AG125" s="9"/>
      <c r="AH125" s="9"/>
      <c r="AI125" s="9">
        <v>20.660000000000004</v>
      </c>
      <c r="AJ125" s="9">
        <v>42.668999999999997</v>
      </c>
      <c r="AK125" s="9">
        <v>7.021195630144744</v>
      </c>
      <c r="AL125" s="30">
        <v>22133.306111111109</v>
      </c>
      <c r="AM125" s="30">
        <v>3457.0434707119261</v>
      </c>
      <c r="AN125" s="30">
        <v>3200.6730088495578</v>
      </c>
      <c r="AO125" s="30"/>
      <c r="AP125" s="30">
        <v>25184.707999999999</v>
      </c>
      <c r="AQ125" s="30">
        <v>412.089</v>
      </c>
      <c r="AR125" s="30">
        <v>5188.779833333333</v>
      </c>
      <c r="AS125" s="30"/>
      <c r="AT125" s="30"/>
      <c r="AU125" s="30">
        <v>1130.75</v>
      </c>
      <c r="AV125" s="30">
        <v>514.80799999999999</v>
      </c>
      <c r="AW125" s="30">
        <v>554189.78200000001</v>
      </c>
      <c r="AX125" s="30">
        <v>71584.296000000002</v>
      </c>
      <c r="AY125" s="30"/>
      <c r="AZ125" s="30"/>
      <c r="BA125" s="9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>
        <v>383.85400000000004</v>
      </c>
      <c r="BN125" s="30"/>
      <c r="BO125" s="30"/>
      <c r="BP125" s="30"/>
      <c r="BQ125" s="9"/>
      <c r="BR125" s="10">
        <v>0.75199999999999978</v>
      </c>
      <c r="BS125" s="9"/>
      <c r="BT125" s="9"/>
      <c r="BU125" s="30">
        <v>782.65506000000005</v>
      </c>
      <c r="BV125" s="30"/>
      <c r="BW125" s="9">
        <f t="shared" si="53"/>
        <v>37.001065971810966</v>
      </c>
      <c r="BX125" s="9">
        <f t="shared" si="54"/>
        <v>62.998934028189034</v>
      </c>
      <c r="BY125" s="9">
        <f t="shared" si="55"/>
        <v>0</v>
      </c>
      <c r="BZ125" s="9">
        <f t="shared" si="50"/>
        <v>95.855045469836796</v>
      </c>
      <c r="CA125" s="9">
        <f t="shared" si="51"/>
        <v>2.0218186595973875</v>
      </c>
      <c r="CB125" s="9">
        <f t="shared" si="52"/>
        <v>2.1231358705658105</v>
      </c>
      <c r="CC125" s="9"/>
      <c r="CD125" s="8">
        <v>11.6</v>
      </c>
      <c r="CE125" s="9">
        <v>10.199999999999999</v>
      </c>
      <c r="CF125" s="30">
        <v>-16</v>
      </c>
      <c r="CG125" s="30"/>
      <c r="CH125" s="10">
        <v>49.073</v>
      </c>
      <c r="CI125" s="10">
        <v>49.32</v>
      </c>
      <c r="CJ125" s="32">
        <v>9.6326999999999992E-3</v>
      </c>
      <c r="CK125" s="32">
        <v>3.5795000000000002E-3</v>
      </c>
      <c r="CL125" s="32"/>
      <c r="CM125" s="32"/>
      <c r="CN125" s="31">
        <v>7.1149000000000004E-2</v>
      </c>
      <c r="CO125" s="10">
        <v>1.0265</v>
      </c>
      <c r="CP125" s="10">
        <f t="shared" si="48"/>
        <v>99.503861200000003</v>
      </c>
      <c r="CQ125" s="25"/>
      <c r="CR125" s="9"/>
      <c r="CS125" s="128">
        <v>-38.799999999999997</v>
      </c>
      <c r="CT125" s="112">
        <v>0.2</v>
      </c>
      <c r="CU125" s="9"/>
      <c r="CV125" s="9"/>
    </row>
    <row r="126" spans="1:100" x14ac:dyDescent="0.4">
      <c r="A126" s="26">
        <v>31</v>
      </c>
      <c r="B126" s="44" t="s">
        <v>298</v>
      </c>
      <c r="C126" s="69" t="s">
        <v>299</v>
      </c>
      <c r="D126" s="122" t="s">
        <v>456</v>
      </c>
      <c r="E126" s="76">
        <v>45.440705999999999</v>
      </c>
      <c r="F126" s="42">
        <v>36.437545999999998</v>
      </c>
      <c r="G126" s="30">
        <v>2</v>
      </c>
      <c r="H126" s="41">
        <v>42989</v>
      </c>
      <c r="I126" s="9">
        <f>(O126+P126+Z126/1000+AA126/1000+T126/1000+U126/1000+Y126/1000/32*96)/1000</f>
        <v>12.536529007802983</v>
      </c>
      <c r="J126" s="8"/>
      <c r="K126" s="68">
        <f t="shared" si="49"/>
        <v>104.76855553102928</v>
      </c>
      <c r="L126" s="8"/>
      <c r="M126" s="8">
        <v>7.6</v>
      </c>
      <c r="N126" s="8"/>
      <c r="O126" s="29">
        <v>4270</v>
      </c>
      <c r="P126" s="30">
        <v>4255</v>
      </c>
      <c r="Q126" s="30"/>
      <c r="R126" s="30">
        <v>3332738.0387093956</v>
      </c>
      <c r="S126" s="30">
        <v>409218.21660656249</v>
      </c>
      <c r="T126" s="30">
        <v>3632904.9267330896</v>
      </c>
      <c r="U126" s="30">
        <v>56616.825295342598</v>
      </c>
      <c r="V126" s="9">
        <v>45.378410000000002</v>
      </c>
      <c r="W126" s="30">
        <v>14844.527742666607</v>
      </c>
      <c r="X126" s="30"/>
      <c r="Y126" s="30"/>
      <c r="Z126" s="30">
        <v>105936.63967781082</v>
      </c>
      <c r="AA126" s="30">
        <v>216070.61609673832</v>
      </c>
      <c r="AB126" s="9"/>
      <c r="AC126" s="9"/>
      <c r="AD126" s="30">
        <v>662.52312000000006</v>
      </c>
      <c r="AE126" s="30"/>
      <c r="AF126" s="30"/>
      <c r="AG126" s="9"/>
      <c r="AH126" s="9"/>
      <c r="AI126" s="9">
        <v>19.490000000000002</v>
      </c>
      <c r="AJ126" s="30">
        <v>300.27449999999999</v>
      </c>
      <c r="AK126" s="9"/>
      <c r="AL126" s="30">
        <v>18247.653055555558</v>
      </c>
      <c r="AM126" s="30">
        <v>4487.1402994893369</v>
      </c>
      <c r="AN126" s="30">
        <v>4527.1789823008849</v>
      </c>
      <c r="AO126" s="30"/>
      <c r="AP126" s="30">
        <v>8052.3540000000003</v>
      </c>
      <c r="AQ126" s="30"/>
      <c r="AR126" s="30">
        <v>530.78991666666661</v>
      </c>
      <c r="AS126" s="30"/>
      <c r="AT126" s="30"/>
      <c r="AU126" s="30">
        <v>733.08000000000015</v>
      </c>
      <c r="AV126" s="9">
        <v>44.184000000000012</v>
      </c>
      <c r="AW126" s="30">
        <v>363694.891</v>
      </c>
      <c r="AX126" s="30">
        <v>94472.148000000001</v>
      </c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9">
        <v>75.915500000000009</v>
      </c>
      <c r="BN126" s="30"/>
      <c r="BO126" s="30"/>
      <c r="BP126" s="30"/>
      <c r="BQ126" s="9"/>
      <c r="BR126" s="10"/>
      <c r="BS126" s="9"/>
      <c r="BT126" s="9">
        <v>18.225000000000001</v>
      </c>
      <c r="BU126" s="9">
        <v>18.496130000000001</v>
      </c>
      <c r="BV126" s="9"/>
      <c r="BW126" s="9">
        <f t="shared" si="53"/>
        <v>36.869436201780417</v>
      </c>
      <c r="BX126" s="9">
        <f t="shared" si="54"/>
        <v>63.130563798219583</v>
      </c>
      <c r="BY126" s="9">
        <f t="shared" si="55"/>
        <v>0</v>
      </c>
      <c r="BZ126" s="9">
        <f t="shared" si="50"/>
        <v>91.095409262173291</v>
      </c>
      <c r="CA126" s="9">
        <f t="shared" si="51"/>
        <v>6.2182515660013529</v>
      </c>
      <c r="CB126" s="9">
        <f t="shared" si="52"/>
        <v>2.6863391718253662</v>
      </c>
      <c r="CC126" s="9"/>
      <c r="CD126" s="8">
        <v>11.2</v>
      </c>
      <c r="CE126" s="9">
        <v>14.5</v>
      </c>
      <c r="CF126" s="30">
        <v>-22.4</v>
      </c>
      <c r="CG126" s="9"/>
      <c r="CH126" s="10">
        <v>19.545000000000002</v>
      </c>
      <c r="CI126" s="10">
        <v>79.426000000000002</v>
      </c>
      <c r="CJ126" s="32">
        <v>3.9763000000000003E-3</v>
      </c>
      <c r="CK126" s="32">
        <v>4.7054999999999996E-3</v>
      </c>
      <c r="CL126" s="32"/>
      <c r="CM126" s="32"/>
      <c r="CN126" s="31">
        <v>4.3737999999999999E-2</v>
      </c>
      <c r="CO126" s="10">
        <v>0.54571999999999998</v>
      </c>
      <c r="CP126" s="10">
        <f t="shared" si="48"/>
        <v>99.569139800000016</v>
      </c>
      <c r="CQ126" s="25"/>
      <c r="CR126" s="9"/>
      <c r="CS126" s="128">
        <v>-39.700000000000003</v>
      </c>
      <c r="CT126" s="112">
        <v>-0.2</v>
      </c>
      <c r="CU126" s="9"/>
      <c r="CV126" s="9"/>
    </row>
    <row r="127" spans="1:100" x14ac:dyDescent="0.4">
      <c r="A127" s="26">
        <v>31</v>
      </c>
      <c r="B127" s="44" t="s">
        <v>300</v>
      </c>
      <c r="C127" s="69" t="s">
        <v>301</v>
      </c>
      <c r="D127" s="122" t="s">
        <v>457</v>
      </c>
      <c r="E127" s="76">
        <v>45.440812000000001</v>
      </c>
      <c r="F127" s="42">
        <v>36.437953999999998</v>
      </c>
      <c r="G127" s="30">
        <v>2</v>
      </c>
      <c r="H127" s="41">
        <v>42989</v>
      </c>
      <c r="I127" s="9">
        <f>(O127+P127+Z127/1000+AA127/1000+T127/1000+U127/1000+Y127/1000/32*96)/1000</f>
        <v>17.338783931077813</v>
      </c>
      <c r="J127" s="8"/>
      <c r="K127" s="68">
        <f t="shared" si="49"/>
        <v>114.42407784691727</v>
      </c>
      <c r="L127" s="8"/>
      <c r="M127" s="8">
        <v>8.1</v>
      </c>
      <c r="N127" s="8"/>
      <c r="O127" s="29">
        <v>5490</v>
      </c>
      <c r="P127" s="30">
        <v>6028</v>
      </c>
      <c r="Q127" s="30"/>
      <c r="R127" s="30">
        <v>4842575.3665908221</v>
      </c>
      <c r="S127" s="30">
        <v>591637.45823906525</v>
      </c>
      <c r="T127" s="30">
        <v>5568146.6243687775</v>
      </c>
      <c r="U127" s="30">
        <v>61265.59491714125</v>
      </c>
      <c r="V127" s="9">
        <v>73.391220000000004</v>
      </c>
      <c r="W127" s="30">
        <v>9701.6257682081687</v>
      </c>
      <c r="X127" s="30"/>
      <c r="Y127" s="30"/>
      <c r="Z127" s="30">
        <v>163036.14180373549</v>
      </c>
      <c r="AA127" s="30">
        <v>28335.569988158888</v>
      </c>
      <c r="AB127" s="9">
        <v>33.431569048832387</v>
      </c>
      <c r="AC127" s="9"/>
      <c r="AD127" s="9">
        <v>4.1238399999999995</v>
      </c>
      <c r="AE127" s="30"/>
      <c r="AF127" s="9"/>
      <c r="AG127" s="9">
        <v>21.936894887079504</v>
      </c>
      <c r="AH127" s="9"/>
      <c r="AI127" s="9">
        <v>26.74</v>
      </c>
      <c r="AJ127" s="30">
        <v>204.06900000000002</v>
      </c>
      <c r="AK127" s="9">
        <v>39.363192449421838</v>
      </c>
      <c r="AL127" s="30">
        <v>23319.306111111109</v>
      </c>
      <c r="AM127" s="30">
        <v>1815.4609534394713</v>
      </c>
      <c r="AN127" s="30">
        <v>1289.8554999999999</v>
      </c>
      <c r="AO127" s="30"/>
      <c r="AP127" s="30">
        <v>18296.707999999999</v>
      </c>
      <c r="AQ127" s="30"/>
      <c r="AR127" s="30">
        <v>3587.9798333333338</v>
      </c>
      <c r="AS127" s="30"/>
      <c r="AT127" s="30"/>
      <c r="AU127" s="30">
        <v>1382.1600000000003</v>
      </c>
      <c r="AV127" s="30">
        <v>1320.3229999999999</v>
      </c>
      <c r="AW127" s="30">
        <v>599389.78200000001</v>
      </c>
      <c r="AX127" s="30">
        <v>86504.296000000002</v>
      </c>
      <c r="AY127" s="9">
        <v>80.442985714285726</v>
      </c>
      <c r="AZ127" s="30">
        <v>192.37899999999999</v>
      </c>
      <c r="BA127" s="9">
        <v>31.462</v>
      </c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>
        <v>178.19100000000003</v>
      </c>
      <c r="BN127" s="30"/>
      <c r="BO127" s="30"/>
      <c r="BP127" s="30"/>
      <c r="BQ127" s="9"/>
      <c r="BR127" s="9">
        <v>1.1119999999999999</v>
      </c>
      <c r="BS127" s="9"/>
      <c r="BT127" s="9"/>
      <c r="BU127" s="30">
        <v>371.38306</v>
      </c>
      <c r="BV127" s="30"/>
      <c r="BW127" s="9">
        <f t="shared" si="53"/>
        <v>34.641656727745854</v>
      </c>
      <c r="BX127" s="9">
        <f t="shared" si="54"/>
        <v>65.358343272254146</v>
      </c>
      <c r="BY127" s="9">
        <f t="shared" si="55"/>
        <v>0</v>
      </c>
      <c r="BZ127" s="9">
        <f t="shared" si="50"/>
        <v>97.403189152867824</v>
      </c>
      <c r="CA127" s="9">
        <f t="shared" si="51"/>
        <v>0.5688851350027917</v>
      </c>
      <c r="CB127" s="9">
        <f t="shared" si="52"/>
        <v>2.0279257121293717</v>
      </c>
      <c r="CC127" s="9"/>
      <c r="CD127" s="8">
        <v>13.7</v>
      </c>
      <c r="CE127" s="9">
        <v>12.6</v>
      </c>
      <c r="CF127" s="30">
        <v>-11.1</v>
      </c>
      <c r="CG127" s="30"/>
      <c r="CH127" s="10">
        <v>37.332999999999998</v>
      </c>
      <c r="CI127" s="10">
        <v>61.822000000000003</v>
      </c>
      <c r="CJ127" s="32">
        <v>5.9952E-3</v>
      </c>
      <c r="CK127" s="32">
        <v>1.7181E-3</v>
      </c>
      <c r="CL127" s="32"/>
      <c r="CM127" s="32"/>
      <c r="CN127" s="31">
        <v>3.2432000000000002E-2</v>
      </c>
      <c r="CO127" s="10">
        <v>0.47087000000000001</v>
      </c>
      <c r="CP127" s="10">
        <f t="shared" si="48"/>
        <v>99.666015300000012</v>
      </c>
      <c r="CQ127" s="25"/>
      <c r="CR127" s="9"/>
      <c r="CS127" s="128">
        <v>-39.200000000000003</v>
      </c>
      <c r="CT127" s="112">
        <v>0.1</v>
      </c>
      <c r="CU127" s="9"/>
      <c r="CV127" s="9"/>
    </row>
    <row r="128" spans="1:100" x14ac:dyDescent="0.4">
      <c r="A128" s="26">
        <v>31</v>
      </c>
      <c r="B128" s="40" t="s">
        <v>302</v>
      </c>
      <c r="C128" s="69" t="s">
        <v>303</v>
      </c>
      <c r="D128" s="122" t="s">
        <v>458</v>
      </c>
      <c r="E128" s="76">
        <v>45.440722999999998</v>
      </c>
      <c r="F128" s="42">
        <v>36.437502000000002</v>
      </c>
      <c r="G128" s="30">
        <v>12.224874</v>
      </c>
      <c r="H128" s="41">
        <v>44028</v>
      </c>
      <c r="I128" s="8"/>
      <c r="J128" s="8"/>
      <c r="K128" s="68">
        <f t="shared" si="49"/>
        <v>100.41900465119824</v>
      </c>
      <c r="L128" s="8">
        <v>157</v>
      </c>
      <c r="M128" s="8">
        <v>6.68</v>
      </c>
      <c r="N128" s="109" t="s">
        <v>66</v>
      </c>
      <c r="O128" s="110">
        <v>4290.333333333333</v>
      </c>
      <c r="P128" s="30">
        <v>4551</v>
      </c>
      <c r="Q128" s="30"/>
      <c r="R128" s="30">
        <v>2786746.5478953999</v>
      </c>
      <c r="S128" s="30">
        <v>441548.20258526027</v>
      </c>
      <c r="T128" s="30">
        <v>4411246.8314195443</v>
      </c>
      <c r="U128" s="30">
        <v>54101.001224833228</v>
      </c>
      <c r="V128" s="9">
        <v>32.372857142857143</v>
      </c>
      <c r="W128" s="30">
        <v>14399.556715073997</v>
      </c>
      <c r="X128" s="9"/>
      <c r="Y128" s="30"/>
      <c r="Z128" s="30">
        <v>116273.64119204695</v>
      </c>
      <c r="AA128" s="30">
        <v>217768.07782946352</v>
      </c>
      <c r="AB128" s="10">
        <v>4.0569883333297838</v>
      </c>
      <c r="AC128" s="9"/>
      <c r="AD128" s="30">
        <v>627.25714285714287</v>
      </c>
      <c r="AE128" s="30"/>
      <c r="AF128" s="10"/>
      <c r="AG128" s="9"/>
      <c r="AH128" s="9"/>
      <c r="AI128" s="9"/>
      <c r="AJ128" s="30">
        <v>279.47571428571428</v>
      </c>
      <c r="AK128" s="9"/>
      <c r="AL128" s="30">
        <v>15371.052619047619</v>
      </c>
      <c r="AM128" s="30">
        <v>4174.3972009490262</v>
      </c>
      <c r="AN128" s="30">
        <v>4485.4128824247673</v>
      </c>
      <c r="AO128" s="9"/>
      <c r="AP128" s="30">
        <v>2449.2238636363636</v>
      </c>
      <c r="AQ128" s="9"/>
      <c r="AR128" s="30"/>
      <c r="AS128" s="9"/>
      <c r="AT128" s="9"/>
      <c r="AU128" s="9"/>
      <c r="AV128" s="30">
        <v>109.41714285714286</v>
      </c>
      <c r="AW128" s="30">
        <v>337217.84720000008</v>
      </c>
      <c r="AX128" s="9">
        <v>78461.614285714284</v>
      </c>
      <c r="AY128" s="9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9"/>
      <c r="BM128" s="9"/>
      <c r="BN128" s="9"/>
      <c r="BO128" s="9"/>
      <c r="BP128" s="9"/>
      <c r="BQ128" s="9"/>
      <c r="BR128" s="10"/>
      <c r="BS128" s="9"/>
      <c r="BT128" s="9"/>
      <c r="BU128" s="9">
        <v>9.6898285714285706</v>
      </c>
      <c r="BV128" s="9"/>
      <c r="BW128" s="9">
        <f t="shared" si="53"/>
        <v>35.426963369357011</v>
      </c>
      <c r="BX128" s="9">
        <f t="shared" si="54"/>
        <v>64.573036630643003</v>
      </c>
      <c r="BY128" s="9">
        <f t="shared" si="55"/>
        <v>0</v>
      </c>
      <c r="BZ128" s="9">
        <f t="shared" si="50"/>
        <v>92.604158698334714</v>
      </c>
      <c r="CA128" s="9">
        <f t="shared" si="51"/>
        <v>5.2467874096366902</v>
      </c>
      <c r="CB128" s="9">
        <f t="shared" si="52"/>
        <v>2.1490538920285989</v>
      </c>
      <c r="CC128" s="9"/>
      <c r="CD128" s="111">
        <v>9.5</v>
      </c>
      <c r="CE128" s="112">
        <v>12.7</v>
      </c>
      <c r="CF128" s="113">
        <v>-17</v>
      </c>
      <c r="CG128" s="9"/>
      <c r="CH128" s="62">
        <v>30.08</v>
      </c>
      <c r="CI128" s="114">
        <v>68.209999999999994</v>
      </c>
      <c r="CJ128" s="62">
        <v>4.8500000000000001E-3</v>
      </c>
      <c r="CK128" s="8"/>
      <c r="CL128" s="62">
        <v>0.58220000000000005</v>
      </c>
      <c r="CM128" s="62">
        <v>4.0239999999999998E-2</v>
      </c>
      <c r="CN128" s="8"/>
      <c r="CO128" s="62">
        <v>1.1619999999999999</v>
      </c>
      <c r="CP128" s="10">
        <f t="shared" si="48"/>
        <v>100.07929</v>
      </c>
      <c r="CQ128" s="30"/>
      <c r="CR128" s="9"/>
      <c r="CS128" s="63">
        <v>-39.4</v>
      </c>
      <c r="CT128" s="63">
        <v>-0.3</v>
      </c>
      <c r="CU128" s="9"/>
      <c r="CV128" s="9"/>
    </row>
    <row r="129" spans="1:100" x14ac:dyDescent="0.4">
      <c r="A129" s="26">
        <v>32</v>
      </c>
      <c r="B129" s="40" t="s">
        <v>304</v>
      </c>
      <c r="C129" s="71" t="s">
        <v>305</v>
      </c>
      <c r="D129" s="122" t="s">
        <v>459</v>
      </c>
      <c r="E129" s="76">
        <v>45.328983000000001</v>
      </c>
      <c r="F129" s="42">
        <v>36.450389999999999</v>
      </c>
      <c r="G129" s="46">
        <v>1.3128390000000001</v>
      </c>
      <c r="H129" s="41">
        <v>42209</v>
      </c>
      <c r="I129" s="9">
        <f>(O129+P129+Z129/1000+AA129/1000+T129/1000+U129/1000+Y129/1000/32*96)/1000</f>
        <v>9.4544636619639988</v>
      </c>
      <c r="J129" s="8">
        <v>24.5</v>
      </c>
      <c r="K129" s="68">
        <f t="shared" si="49"/>
        <v>59.829249244291191</v>
      </c>
      <c r="L129" s="8">
        <v>65</v>
      </c>
      <c r="M129" s="10">
        <v>8.5</v>
      </c>
      <c r="N129" s="10">
        <v>0.34</v>
      </c>
      <c r="O129" s="29">
        <v>2928</v>
      </c>
      <c r="P129" s="30">
        <v>4184</v>
      </c>
      <c r="Q129" s="30">
        <f t="shared" ref="Q129:Q139" si="56">Y129/32*96/1000</f>
        <v>4.1707273611082494</v>
      </c>
      <c r="R129" s="30">
        <v>335168.65085335361</v>
      </c>
      <c r="S129" s="30">
        <v>23367.640029575436</v>
      </c>
      <c r="T129" s="30">
        <v>2283468.8639758201</v>
      </c>
      <c r="U129" s="30">
        <v>21405.173150499799</v>
      </c>
      <c r="V129" s="30">
        <v>148.66203511788476</v>
      </c>
      <c r="W129" s="30">
        <v>2546.3282468113393</v>
      </c>
      <c r="X129" s="30"/>
      <c r="Y129" s="30">
        <v>1390.2424537027496</v>
      </c>
      <c r="Z129" s="30">
        <v>13075.184680477509</v>
      </c>
      <c r="AA129" s="30">
        <v>20343.712796091797</v>
      </c>
      <c r="AB129" s="30"/>
      <c r="AC129" s="30"/>
      <c r="AD129" s="9">
        <v>7.3964139275641649</v>
      </c>
      <c r="AE129" s="30"/>
      <c r="AF129" s="30"/>
      <c r="AG129" s="30"/>
      <c r="AH129" s="30"/>
      <c r="AI129" s="30"/>
      <c r="AJ129" s="9"/>
      <c r="AK129" s="9">
        <v>17.97156113693794</v>
      </c>
      <c r="AL129" s="30">
        <v>42242.707833909342</v>
      </c>
      <c r="AM129" s="30">
        <v>998.1859330356292</v>
      </c>
      <c r="AN129" s="30">
        <v>484.56706783590795</v>
      </c>
      <c r="AO129" s="10"/>
      <c r="AP129" s="9">
        <v>6443.1661257384376</v>
      </c>
      <c r="AQ129" s="9"/>
      <c r="AR129" s="9">
        <v>1724.6253190555208</v>
      </c>
      <c r="AS129" s="9"/>
      <c r="AT129" s="9"/>
      <c r="AU129" s="9">
        <v>1801.722651763766</v>
      </c>
      <c r="AV129" s="10">
        <v>327.56118796556058</v>
      </c>
      <c r="AW129" s="30">
        <f>1000*2.08739768646609</f>
        <v>2087.3976864660899</v>
      </c>
      <c r="AX129" s="30">
        <v>56.850765048010246</v>
      </c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9"/>
      <c r="BS129" s="10"/>
      <c r="BT129" s="10"/>
      <c r="BU129" s="10">
        <v>328.98893232275606</v>
      </c>
      <c r="BV129" s="10"/>
      <c r="BW129" s="9">
        <f t="shared" si="53"/>
        <v>28.925064153238072</v>
      </c>
      <c r="BX129" s="9">
        <f t="shared" si="54"/>
        <v>71.022575362176113</v>
      </c>
      <c r="BY129" s="9">
        <f t="shared" si="55"/>
        <v>5.2360484585816595E-2</v>
      </c>
      <c r="BZ129" s="9">
        <f t="shared" si="50"/>
        <v>97.279793029642903</v>
      </c>
      <c r="CA129" s="9">
        <f t="shared" si="51"/>
        <v>0.99469029029280431</v>
      </c>
      <c r="CB129" s="9">
        <f t="shared" si="52"/>
        <v>1.7255166800642978</v>
      </c>
      <c r="CC129" s="9"/>
      <c r="CD129" s="8">
        <v>19.399999999999999</v>
      </c>
      <c r="CE129" s="9">
        <v>4.3</v>
      </c>
      <c r="CF129" s="132">
        <v>-23</v>
      </c>
      <c r="CG129" s="10"/>
      <c r="CH129" s="10">
        <v>96.6</v>
      </c>
      <c r="CI129" s="27">
        <v>1.37</v>
      </c>
      <c r="CJ129" s="27">
        <v>5.1999999999999998E-3</v>
      </c>
      <c r="CK129" s="27">
        <v>9.6000000000000002E-4</v>
      </c>
      <c r="CL129" s="27"/>
      <c r="CM129" s="27"/>
      <c r="CN129" s="27">
        <v>0.03</v>
      </c>
      <c r="CO129" s="27">
        <v>0.92700000000000005</v>
      </c>
      <c r="CP129" s="10">
        <f t="shared" si="48"/>
        <v>98.933160000000015</v>
      </c>
      <c r="CQ129" s="10"/>
      <c r="CR129" s="9">
        <v>-1.8845000000000001</v>
      </c>
      <c r="CS129" s="128">
        <v>-50.3</v>
      </c>
      <c r="CT129" s="128">
        <v>-22.9</v>
      </c>
      <c r="CU129" s="137"/>
      <c r="CV129" s="137"/>
    </row>
    <row r="130" spans="1:100" x14ac:dyDescent="0.4">
      <c r="A130" s="26">
        <v>32</v>
      </c>
      <c r="B130" s="44" t="s">
        <v>306</v>
      </c>
      <c r="C130" s="71" t="s">
        <v>305</v>
      </c>
      <c r="D130" s="122" t="s">
        <v>459</v>
      </c>
      <c r="E130" s="76">
        <v>45.329206999999997</v>
      </c>
      <c r="F130" s="42">
        <v>36.450946000000002</v>
      </c>
      <c r="G130" s="8">
        <v>4</v>
      </c>
      <c r="H130" s="41">
        <v>42986</v>
      </c>
      <c r="I130" s="9">
        <f>(O130+P130+Z130/1000+AA130/1000+T130/1000+U130/1000+Y130/1000/32*96)/1000</f>
        <v>10.048148629394703</v>
      </c>
      <c r="J130" s="8">
        <v>23.4</v>
      </c>
      <c r="K130" s="68">
        <f t="shared" si="49"/>
        <v>45.708231838873189</v>
      </c>
      <c r="L130" s="8"/>
      <c r="M130" s="8">
        <v>8.1</v>
      </c>
      <c r="N130" s="8"/>
      <c r="O130" s="29">
        <v>3050</v>
      </c>
      <c r="P130" s="30">
        <v>3900</v>
      </c>
      <c r="Q130" s="30">
        <f t="shared" si="56"/>
        <v>0</v>
      </c>
      <c r="R130" s="30">
        <v>131048.57540688863</v>
      </c>
      <c r="S130" s="30">
        <v>31490.560680993265</v>
      </c>
      <c r="T130" s="30">
        <v>3071958.4649380278</v>
      </c>
      <c r="U130" s="30">
        <v>12606.520769438259</v>
      </c>
      <c r="V130" s="9">
        <v>38.224409999999999</v>
      </c>
      <c r="W130" s="30">
        <v>4814.8019003617665</v>
      </c>
      <c r="X130" s="30">
        <v>2852.5860935802766</v>
      </c>
      <c r="Y130" s="30"/>
      <c r="Z130" s="30">
        <v>9206.3068613735395</v>
      </c>
      <c r="AA130" s="30">
        <v>4377.3368258638639</v>
      </c>
      <c r="AB130" s="9"/>
      <c r="AC130" s="9"/>
      <c r="AD130" s="9">
        <v>8.0791199999999996</v>
      </c>
      <c r="AE130" s="30"/>
      <c r="AF130" s="9"/>
      <c r="AG130" s="9">
        <v>15.74815488051499</v>
      </c>
      <c r="AH130" s="9">
        <v>44.978899999999996</v>
      </c>
      <c r="AI130" s="9">
        <v>66.53</v>
      </c>
      <c r="AJ130" s="9"/>
      <c r="AK130" s="30">
        <v>115.98714379097598</v>
      </c>
      <c r="AL130" s="30">
        <v>56736.653055555551</v>
      </c>
      <c r="AM130" s="30">
        <v>455.37199999999996</v>
      </c>
      <c r="AN130" s="30">
        <v>170.81774999999999</v>
      </c>
      <c r="AO130" s="30">
        <v>145.52687142857144</v>
      </c>
      <c r="AP130" s="30">
        <v>7539.5760000000009</v>
      </c>
      <c r="AQ130" s="30"/>
      <c r="AR130" s="30">
        <v>11047.389916666667</v>
      </c>
      <c r="AS130" s="30"/>
      <c r="AT130" s="30">
        <v>165.63244145290238</v>
      </c>
      <c r="AU130" s="30">
        <v>915.57500000000005</v>
      </c>
      <c r="AV130" s="30">
        <v>556.36149999999998</v>
      </c>
      <c r="AW130" s="30">
        <v>2302.8910000000001</v>
      </c>
      <c r="AX130" s="9">
        <v>20.648</v>
      </c>
      <c r="AY130" s="9">
        <v>81.027492857142846</v>
      </c>
      <c r="AZ130" s="30">
        <v>148.34949999999998</v>
      </c>
      <c r="BA130" s="9">
        <v>22.631</v>
      </c>
      <c r="BB130" s="30">
        <v>123.8888</v>
      </c>
      <c r="BC130" s="9">
        <v>33.15</v>
      </c>
      <c r="BD130" s="9"/>
      <c r="BE130" s="9">
        <v>26.409500000000001</v>
      </c>
      <c r="BF130" s="9"/>
      <c r="BG130" s="9">
        <v>17.962</v>
      </c>
      <c r="BH130" s="9"/>
      <c r="BI130" s="9">
        <v>11.5585</v>
      </c>
      <c r="BJ130" s="9"/>
      <c r="BK130" s="9">
        <v>16.350000000000001</v>
      </c>
      <c r="BL130" s="9"/>
      <c r="BM130" s="9">
        <v>29.795499999999997</v>
      </c>
      <c r="BN130" s="30"/>
      <c r="BO130" s="30">
        <v>331.077</v>
      </c>
      <c r="BP130" s="30"/>
      <c r="BQ130" s="9"/>
      <c r="BR130" s="9">
        <v>1.4959999999999998</v>
      </c>
      <c r="BS130" s="9"/>
      <c r="BT130" s="9">
        <v>18.225000000000001</v>
      </c>
      <c r="BU130" s="30">
        <v>1336.8895300000004</v>
      </c>
      <c r="BV130" s="30"/>
      <c r="BW130" s="9">
        <f t="shared" si="53"/>
        <v>31.277533039647576</v>
      </c>
      <c r="BX130" s="9">
        <f t="shared" si="54"/>
        <v>68.722466960352421</v>
      </c>
      <c r="BY130" s="9">
        <f t="shared" si="55"/>
        <v>0</v>
      </c>
      <c r="BZ130" s="9">
        <f t="shared" si="50"/>
        <v>99.068694319306374</v>
      </c>
      <c r="CA130" s="9">
        <f t="shared" si="51"/>
        <v>0.16201722316385067</v>
      </c>
      <c r="CB130" s="9">
        <f t="shared" si="52"/>
        <v>0.76928845752979091</v>
      </c>
      <c r="CC130" s="9"/>
      <c r="CD130" s="8">
        <v>17.100000000000001</v>
      </c>
      <c r="CE130" s="9">
        <v>5.6</v>
      </c>
      <c r="CF130" s="30">
        <v>-24.3</v>
      </c>
      <c r="CG130" s="30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9"/>
      <c r="CS130" s="9"/>
      <c r="CT130" s="9"/>
      <c r="CU130" s="9"/>
      <c r="CV130" s="9"/>
    </row>
    <row r="131" spans="1:100" x14ac:dyDescent="0.4">
      <c r="A131" s="26">
        <v>32</v>
      </c>
      <c r="B131" s="44" t="s">
        <v>307</v>
      </c>
      <c r="C131" s="71" t="s">
        <v>305</v>
      </c>
      <c r="D131" s="122" t="s">
        <v>459</v>
      </c>
      <c r="E131" s="76">
        <v>45.329206999999997</v>
      </c>
      <c r="F131" s="42">
        <v>36.450946000000002</v>
      </c>
      <c r="G131" s="8">
        <v>4</v>
      </c>
      <c r="H131" s="41">
        <v>42986</v>
      </c>
      <c r="I131" s="9">
        <f>(O131+P131+Z131/1000+AA131/1000+T131/1000+U131/1000+Y131/1000/32*96)/1000</f>
        <v>9.8952441465726722</v>
      </c>
      <c r="J131" s="8">
        <v>23</v>
      </c>
      <c r="K131" s="68">
        <f t="shared" si="49"/>
        <v>51.781474621621612</v>
      </c>
      <c r="L131" s="8"/>
      <c r="M131" s="8">
        <v>8</v>
      </c>
      <c r="N131" s="8"/>
      <c r="O131" s="29">
        <v>3050</v>
      </c>
      <c r="P131" s="30">
        <v>3900</v>
      </c>
      <c r="Q131" s="30">
        <f t="shared" si="56"/>
        <v>24.181074694312908</v>
      </c>
      <c r="R131" s="30">
        <v>228630.12659578328</v>
      </c>
      <c r="S131" s="30">
        <v>26782.56660569473</v>
      </c>
      <c r="T131" s="30">
        <v>2881242.5235146042</v>
      </c>
      <c r="U131" s="30">
        <v>21175.693681126377</v>
      </c>
      <c r="V131" s="9">
        <v>16.331210000000006</v>
      </c>
      <c r="W131" s="30">
        <v>4729.4425314910877</v>
      </c>
      <c r="X131" s="30"/>
      <c r="Y131" s="30">
        <v>8060.3582314376363</v>
      </c>
      <c r="Z131" s="30">
        <v>11709.191400844449</v>
      </c>
      <c r="AA131" s="30">
        <v>6935.6632817826257</v>
      </c>
      <c r="AB131" s="9"/>
      <c r="AC131" s="9"/>
      <c r="AD131" s="9">
        <v>6.2171199999999995</v>
      </c>
      <c r="AE131" s="30"/>
      <c r="AF131" s="9"/>
      <c r="AG131" s="9">
        <v>10.399351553993238</v>
      </c>
      <c r="AH131" s="9">
        <v>83.972899999999996</v>
      </c>
      <c r="AI131" s="9">
        <v>15.19</v>
      </c>
      <c r="AJ131" s="9"/>
      <c r="AK131" s="9">
        <v>22.231275164469963</v>
      </c>
      <c r="AL131" s="30">
        <v>49296.653055555551</v>
      </c>
      <c r="AM131" s="30">
        <v>653.07199999999989</v>
      </c>
      <c r="AN131" s="30">
        <v>275.72775000000001</v>
      </c>
      <c r="AO131" s="30">
        <v>161.91829999999999</v>
      </c>
      <c r="AP131" s="30">
        <v>6563.5760000000009</v>
      </c>
      <c r="AQ131" s="30"/>
      <c r="AR131" s="30">
        <v>9347.389916666667</v>
      </c>
      <c r="AS131" s="30"/>
      <c r="AT131" s="30"/>
      <c r="AU131" s="30">
        <v>802.68000000000018</v>
      </c>
      <c r="AV131" s="30">
        <v>859.76149999999984</v>
      </c>
      <c r="AW131" s="30">
        <v>3088.8909999999996</v>
      </c>
      <c r="AX131" s="9">
        <v>45.408000000000001</v>
      </c>
      <c r="AY131" s="9">
        <v>56.210064285714274</v>
      </c>
      <c r="AZ131" s="30">
        <v>126.1095</v>
      </c>
      <c r="BA131" s="9">
        <v>22.631</v>
      </c>
      <c r="BB131" s="9">
        <v>62.993600000000001</v>
      </c>
      <c r="BC131" s="9"/>
      <c r="BD131" s="9"/>
      <c r="BE131" s="9">
        <v>21.187999999999999</v>
      </c>
      <c r="BF131" s="9"/>
      <c r="BG131" s="9">
        <v>22.962000000000003</v>
      </c>
      <c r="BH131" s="9"/>
      <c r="BI131" s="9">
        <v>11.5585</v>
      </c>
      <c r="BJ131" s="9"/>
      <c r="BK131" s="9">
        <v>10.181000000000001</v>
      </c>
      <c r="BL131" s="9"/>
      <c r="BM131" s="9">
        <v>45.206999999999994</v>
      </c>
      <c r="BN131" s="30"/>
      <c r="BO131" s="30">
        <v>120.46800000000002</v>
      </c>
      <c r="BP131" s="30"/>
      <c r="BQ131" s="9"/>
      <c r="BR131" s="9">
        <v>2.4159999999999999</v>
      </c>
      <c r="BS131" s="9"/>
      <c r="BT131" s="9"/>
      <c r="BU131" s="30">
        <v>2002.8835300000003</v>
      </c>
      <c r="BV131" s="30"/>
      <c r="BW131" s="9">
        <f t="shared" si="53"/>
        <v>31.179276180538235</v>
      </c>
      <c r="BX131" s="9">
        <f t="shared" si="54"/>
        <v>68.506578650196687</v>
      </c>
      <c r="BY131" s="9">
        <f t="shared" si="55"/>
        <v>0.31414516926508596</v>
      </c>
      <c r="BZ131" s="9">
        <f t="shared" si="50"/>
        <v>98.360367977454928</v>
      </c>
      <c r="CA131" s="9">
        <f t="shared" si="51"/>
        <v>0.27174305175151298</v>
      </c>
      <c r="CB131" s="9">
        <f t="shared" si="52"/>
        <v>1.3678889707935631</v>
      </c>
      <c r="CC131" s="9"/>
      <c r="CD131" s="8">
        <v>20.399999999999999</v>
      </c>
      <c r="CE131" s="9">
        <v>5.5</v>
      </c>
      <c r="CF131" s="30">
        <v>-28.7</v>
      </c>
      <c r="CG131" s="30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9"/>
      <c r="CS131" s="9"/>
      <c r="CT131" s="9"/>
      <c r="CU131" s="9"/>
      <c r="CV131" s="9"/>
    </row>
    <row r="132" spans="1:100" x14ac:dyDescent="0.4">
      <c r="A132" s="26">
        <v>32</v>
      </c>
      <c r="B132" s="40" t="s">
        <v>308</v>
      </c>
      <c r="C132" s="71" t="s">
        <v>305</v>
      </c>
      <c r="D132" s="122" t="s">
        <v>459</v>
      </c>
      <c r="E132" s="76">
        <v>45.328966999999999</v>
      </c>
      <c r="F132" s="42">
        <v>36.450538999999999</v>
      </c>
      <c r="G132" s="30">
        <v>5.1001459999999996</v>
      </c>
      <c r="H132" s="41">
        <v>44027</v>
      </c>
      <c r="I132" s="8"/>
      <c r="J132" s="8"/>
      <c r="K132" s="68">
        <f t="shared" si="49"/>
        <v>51.732599338774321</v>
      </c>
      <c r="L132" s="8">
        <v>-4</v>
      </c>
      <c r="M132" s="8">
        <v>8.52</v>
      </c>
      <c r="N132" s="109" t="s">
        <v>66</v>
      </c>
      <c r="O132" s="110">
        <v>3029.6666666666665</v>
      </c>
      <c r="P132" s="30">
        <v>3870</v>
      </c>
      <c r="Q132" s="30">
        <f t="shared" si="56"/>
        <v>36.529992261287347</v>
      </c>
      <c r="R132" s="30">
        <v>240453.78452170041</v>
      </c>
      <c r="S132" s="30">
        <v>38992.693421843098</v>
      </c>
      <c r="T132" s="30">
        <v>3991721.8978891596</v>
      </c>
      <c r="U132" s="30">
        <v>23532.767374563005</v>
      </c>
      <c r="V132" s="9">
        <v>24.10285714285714</v>
      </c>
      <c r="W132" s="30">
        <v>5017.0618520998323</v>
      </c>
      <c r="X132" s="30">
        <v>498.11653099300963</v>
      </c>
      <c r="Y132" s="30">
        <v>12176.664087095782</v>
      </c>
      <c r="Z132" s="30">
        <v>12676.623223757699</v>
      </c>
      <c r="AA132" s="30">
        <v>7503.5393931543658</v>
      </c>
      <c r="AB132" s="9">
        <v>3.4004313790965202</v>
      </c>
      <c r="AC132" s="9"/>
      <c r="AD132" s="9">
        <v>29.037142857142861</v>
      </c>
      <c r="AE132" s="30">
        <v>837.1795021939929</v>
      </c>
      <c r="AF132" s="9"/>
      <c r="AG132" s="9">
        <v>6.4484223620316747</v>
      </c>
      <c r="AH132" s="9"/>
      <c r="AI132" s="9">
        <v>15.43285714285714</v>
      </c>
      <c r="AJ132" s="9"/>
      <c r="AK132" s="9">
        <v>11.333634155844159</v>
      </c>
      <c r="AL132" s="30">
        <v>49482.052619047616</v>
      </c>
      <c r="AM132" s="30">
        <v>626.38571428571436</v>
      </c>
      <c r="AN132" s="30">
        <v>197.41357142857143</v>
      </c>
      <c r="AO132" s="30"/>
      <c r="AP132" s="30">
        <v>9569.5727272727272</v>
      </c>
      <c r="AQ132" s="9"/>
      <c r="AR132" s="30">
        <v>7021.0424999999996</v>
      </c>
      <c r="AS132" s="30"/>
      <c r="AT132" s="30"/>
      <c r="AU132" s="30"/>
      <c r="AV132" s="30">
        <v>467.77714285714285</v>
      </c>
      <c r="AW132" s="30">
        <v>2079.9272000000001</v>
      </c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9"/>
      <c r="BM132" s="9">
        <v>125.88000000000001</v>
      </c>
      <c r="BN132" s="9"/>
      <c r="BO132" s="9"/>
      <c r="BP132" s="9"/>
      <c r="BQ132" s="9"/>
      <c r="BR132" s="10"/>
      <c r="BS132" s="9"/>
      <c r="BT132" s="9"/>
      <c r="BU132" s="30">
        <v>1215.6634285714288</v>
      </c>
      <c r="BV132" s="30"/>
      <c r="BW132" s="9">
        <f t="shared" si="53"/>
        <v>31.150343854080841</v>
      </c>
      <c r="BX132" s="9">
        <f t="shared" si="54"/>
        <v>68.372339946285763</v>
      </c>
      <c r="BY132" s="9">
        <f t="shared" si="55"/>
        <v>0.47731619963339472</v>
      </c>
      <c r="BZ132" s="9">
        <f t="shared" si="50"/>
        <v>98.686206512231735</v>
      </c>
      <c r="CA132" s="9">
        <f t="shared" si="51"/>
        <v>0.21290823725669378</v>
      </c>
      <c r="CB132" s="9">
        <f t="shared" si="52"/>
        <v>1.1008852505115714</v>
      </c>
      <c r="CC132" s="9"/>
      <c r="CD132" s="111">
        <v>19</v>
      </c>
      <c r="CE132" s="112">
        <v>3.4</v>
      </c>
      <c r="CF132" s="113">
        <v>-23</v>
      </c>
      <c r="CG132" s="30"/>
      <c r="CH132" s="62">
        <v>97.12</v>
      </c>
      <c r="CI132" s="114">
        <v>0.98350000000000004</v>
      </c>
      <c r="CJ132" s="62">
        <v>4.7609999999999996E-3</v>
      </c>
      <c r="CK132" s="62">
        <v>7.0750000000000001E-4</v>
      </c>
      <c r="CL132" s="62"/>
      <c r="CM132" s="62">
        <v>8.7410000000000002E-2</v>
      </c>
      <c r="CN132" s="8"/>
      <c r="CO132" s="62">
        <v>1.5169999999999999</v>
      </c>
      <c r="CP132" s="10">
        <f>SUM(CH132:CO132)</f>
        <v>99.713378500000019</v>
      </c>
      <c r="CQ132" s="30"/>
      <c r="CR132" s="9"/>
      <c r="CS132" s="63">
        <v>-49.2</v>
      </c>
      <c r="CT132" s="63">
        <v>-16.399999999999999</v>
      </c>
      <c r="CU132" s="63">
        <v>-27.4</v>
      </c>
      <c r="CV132" s="63"/>
    </row>
    <row r="133" spans="1:100" x14ac:dyDescent="0.4">
      <c r="A133" s="26">
        <v>33</v>
      </c>
      <c r="B133" s="40" t="s">
        <v>309</v>
      </c>
      <c r="C133" s="69" t="s">
        <v>310</v>
      </c>
      <c r="D133" s="26" t="s">
        <v>460</v>
      </c>
      <c r="E133" s="76">
        <v>45.153579000000001</v>
      </c>
      <c r="F133" s="42">
        <v>36.377367999999997</v>
      </c>
      <c r="G133" s="46">
        <v>-10.382972000000001</v>
      </c>
      <c r="H133" s="41">
        <v>42210</v>
      </c>
      <c r="I133" s="9">
        <f>(O133+P133+Z133/1000+AA133/1000+T133/1000+U133/1000+Y133/1000/32*96)/1000</f>
        <v>14.997182852938504</v>
      </c>
      <c r="J133" s="8">
        <v>20.5</v>
      </c>
      <c r="K133" s="68">
        <f t="shared" si="49"/>
        <v>71.650223841857837</v>
      </c>
      <c r="L133" s="8">
        <v>35</v>
      </c>
      <c r="M133" s="10">
        <v>7.82</v>
      </c>
      <c r="N133" s="10">
        <v>0.6</v>
      </c>
      <c r="O133" s="29">
        <v>4270</v>
      </c>
      <c r="P133" s="30">
        <v>6170</v>
      </c>
      <c r="Q133" s="30">
        <f t="shared" si="56"/>
        <v>58.225287222560958</v>
      </c>
      <c r="R133" s="30">
        <v>881482.233628046</v>
      </c>
      <c r="S133" s="30">
        <v>18106.572245082454</v>
      </c>
      <c r="T133" s="30">
        <v>4347827.9471081598</v>
      </c>
      <c r="U133" s="30">
        <v>52118.70562082759</v>
      </c>
      <c r="V133" s="30">
        <v>119.7154894402229</v>
      </c>
      <c r="W133" s="30">
        <v>2971.6535030544701</v>
      </c>
      <c r="X133" s="30"/>
      <c r="Y133" s="30">
        <v>19408.429074186988</v>
      </c>
      <c r="Z133" s="30">
        <v>66556.686622983805</v>
      </c>
      <c r="AA133" s="30">
        <v>32454.226363972248</v>
      </c>
      <c r="AB133" s="30"/>
      <c r="AC133" s="30"/>
      <c r="AD133" s="9">
        <v>10.576260403965435</v>
      </c>
      <c r="AE133" s="30"/>
      <c r="AF133" s="30"/>
      <c r="AG133" s="30"/>
      <c r="AH133" s="30"/>
      <c r="AI133" s="30"/>
      <c r="AJ133" s="9"/>
      <c r="AK133" s="9">
        <v>12.09479374371813</v>
      </c>
      <c r="AL133" s="30">
        <v>77043.246578173217</v>
      </c>
      <c r="AM133" s="30">
        <v>2044.962550149284</v>
      </c>
      <c r="AN133" s="30">
        <v>862.35795808012017</v>
      </c>
      <c r="AO133" s="10"/>
      <c r="AP133" s="9">
        <v>26085.375808596247</v>
      </c>
      <c r="AQ133" s="9"/>
      <c r="AR133" s="9">
        <v>5156.4050181383054</v>
      </c>
      <c r="AS133" s="9"/>
      <c r="AT133" s="9"/>
      <c r="AU133" s="9">
        <v>1934.4733201556078</v>
      </c>
      <c r="AV133" s="10">
        <v>508.65834962517044</v>
      </c>
      <c r="AW133" s="30">
        <f>1000*16.7843726782212</f>
        <v>16784.3726782212</v>
      </c>
      <c r="AX133" s="30">
        <v>415.55995965583918</v>
      </c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9"/>
      <c r="BS133" s="10"/>
      <c r="BT133" s="10"/>
      <c r="BU133" s="9">
        <v>1163.5030197073527</v>
      </c>
      <c r="BV133" s="9"/>
      <c r="BW133" s="9">
        <f t="shared" si="53"/>
        <v>28.569581026935744</v>
      </c>
      <c r="BX133" s="9">
        <f t="shared" si="54"/>
        <v>70.935338002492358</v>
      </c>
      <c r="BY133" s="9">
        <f t="shared" si="55"/>
        <v>0.49508097057189332</v>
      </c>
      <c r="BZ133" s="9">
        <f t="shared" si="50"/>
        <v>96.969727659510724</v>
      </c>
      <c r="CA133" s="9">
        <f t="shared" si="51"/>
        <v>0.83074016016061125</v>
      </c>
      <c r="CB133" s="9">
        <f t="shared" si="52"/>
        <v>2.1995321803286605</v>
      </c>
      <c r="CC133" s="9"/>
      <c r="CD133" s="8">
        <v>20.9</v>
      </c>
      <c r="CE133" s="9">
        <v>0.1</v>
      </c>
      <c r="CF133" s="132">
        <v>-29</v>
      </c>
      <c r="CG133" s="9"/>
      <c r="CH133" s="10">
        <v>95.54</v>
      </c>
      <c r="CI133" s="27">
        <v>3.15</v>
      </c>
      <c r="CJ133" s="27">
        <v>2.2000000000000001E-3</v>
      </c>
      <c r="CK133" s="27"/>
      <c r="CL133" s="27"/>
      <c r="CM133" s="27"/>
      <c r="CN133" s="27">
        <v>3.5999999999999997E-2</v>
      </c>
      <c r="CO133" s="27">
        <v>0.503</v>
      </c>
      <c r="CP133" s="10">
        <f>SUM(CH133:CO133)</f>
        <v>99.231200000000015</v>
      </c>
      <c r="CQ133" s="10"/>
      <c r="CR133" s="128"/>
      <c r="CS133" s="128">
        <v>-58.3</v>
      </c>
      <c r="CT133" s="128">
        <v>-15.4</v>
      </c>
      <c r="CU133" s="137"/>
      <c r="CV133" s="137"/>
    </row>
    <row r="134" spans="1:100" x14ac:dyDescent="0.4">
      <c r="A134" s="26">
        <v>33</v>
      </c>
      <c r="B134" s="44" t="s">
        <v>311</v>
      </c>
      <c r="C134" s="69" t="s">
        <v>310</v>
      </c>
      <c r="D134" s="26" t="s">
        <v>460</v>
      </c>
      <c r="E134" s="76">
        <v>45.153526999999997</v>
      </c>
      <c r="F134" s="42">
        <v>36.377338999999999</v>
      </c>
      <c r="G134" s="46">
        <v>-10.382972000000001</v>
      </c>
      <c r="H134" s="41">
        <v>42990</v>
      </c>
      <c r="I134" s="9">
        <f>(O134+P134+Z134/1000+AA134/1000+T134/1000+U134/1000+Y134/1000/32*96)/1000</f>
        <v>14.117407048588342</v>
      </c>
      <c r="J134" s="8">
        <v>27.2</v>
      </c>
      <c r="K134" s="68">
        <f t="shared" si="49"/>
        <v>76.336891704217578</v>
      </c>
      <c r="L134" s="8"/>
      <c r="M134" s="8">
        <v>7.9</v>
      </c>
      <c r="N134" s="8"/>
      <c r="O134" s="29">
        <v>4148</v>
      </c>
      <c r="P134" s="30">
        <v>5319</v>
      </c>
      <c r="Q134" s="30">
        <f t="shared" si="56"/>
        <v>14.096590628971651</v>
      </c>
      <c r="R134" s="30">
        <v>974584.83589077776</v>
      </c>
      <c r="S134" s="30">
        <v>18627.596421217127</v>
      </c>
      <c r="T134" s="30">
        <v>4529236.5800616099</v>
      </c>
      <c r="U134" s="30">
        <v>42946.803862282992</v>
      </c>
      <c r="V134" s="9"/>
      <c r="W134" s="30">
        <v>3769.1496316959419</v>
      </c>
      <c r="X134" s="30"/>
      <c r="Y134" s="30">
        <v>4698.8635429905507</v>
      </c>
      <c r="Z134" s="30">
        <v>40512.87905180479</v>
      </c>
      <c r="AA134" s="30">
        <v>23614.194983673617</v>
      </c>
      <c r="AB134" s="9"/>
      <c r="AC134" s="9"/>
      <c r="AD134" s="9">
        <v>4.9235199999999999</v>
      </c>
      <c r="AE134" s="30">
        <v>5069.97319364549</v>
      </c>
      <c r="AF134" s="30"/>
      <c r="AG134" s="9"/>
      <c r="AH134" s="9"/>
      <c r="AI134" s="9">
        <v>15.13</v>
      </c>
      <c r="AJ134" s="9"/>
      <c r="AK134" s="9">
        <v>6.8013152608555068</v>
      </c>
      <c r="AL134" s="30">
        <v>86186.653055555536</v>
      </c>
      <c r="AM134" s="30">
        <v>1923.8142556323223</v>
      </c>
      <c r="AN134" s="30">
        <v>670.22775000000001</v>
      </c>
      <c r="AO134" s="30"/>
      <c r="AP134" s="30">
        <v>18843.575999999997</v>
      </c>
      <c r="AQ134" s="30"/>
      <c r="AR134" s="30">
        <v>3457.389916666667</v>
      </c>
      <c r="AS134" s="30"/>
      <c r="AT134" s="30"/>
      <c r="AU134" s="30">
        <v>604.08000000000015</v>
      </c>
      <c r="AV134" s="30">
        <v>210.76149999999998</v>
      </c>
      <c r="AW134" s="30">
        <v>14378.891000000001</v>
      </c>
      <c r="AX134" s="30">
        <v>449.94799999999998</v>
      </c>
      <c r="AY134" s="9">
        <v>27.038635714285718</v>
      </c>
      <c r="AZ134" s="9">
        <v>63.9895</v>
      </c>
      <c r="BA134" s="9"/>
      <c r="BB134" s="9">
        <v>28.808799999999994</v>
      </c>
      <c r="BC134" s="30"/>
      <c r="BD134" s="9"/>
      <c r="BE134" s="9"/>
      <c r="BF134" s="9"/>
      <c r="BG134" s="9"/>
      <c r="BH134" s="30"/>
      <c r="BI134" s="30"/>
      <c r="BJ134" s="30"/>
      <c r="BK134" s="30"/>
      <c r="BL134" s="30"/>
      <c r="BM134" s="9">
        <v>67.135500000000008</v>
      </c>
      <c r="BN134" s="30"/>
      <c r="BO134" s="30"/>
      <c r="BP134" s="30"/>
      <c r="BQ134" s="9"/>
      <c r="BR134" s="10"/>
      <c r="BS134" s="9"/>
      <c r="BT134" s="9"/>
      <c r="BU134" s="30">
        <v>302.04353000000003</v>
      </c>
      <c r="BV134" s="30"/>
      <c r="BW134" s="9">
        <f t="shared" si="53"/>
        <v>31.174832995273334</v>
      </c>
      <c r="BX134" s="9">
        <f t="shared" si="54"/>
        <v>68.690528874009473</v>
      </c>
      <c r="BY134" s="9">
        <f t="shared" si="55"/>
        <v>0.13463813071719558</v>
      </c>
      <c r="BZ134" s="9">
        <f t="shared" si="50"/>
        <v>97.663294230148992</v>
      </c>
      <c r="CA134" s="9">
        <f t="shared" si="51"/>
        <v>0.58439921875961764</v>
      </c>
      <c r="CB134" s="9">
        <f t="shared" si="52"/>
        <v>1.7523065510913898</v>
      </c>
      <c r="CC134" s="9"/>
      <c r="CD134" s="8">
        <v>21</v>
      </c>
      <c r="CE134" s="9">
        <v>1</v>
      </c>
      <c r="CF134" s="30">
        <v>-25.3</v>
      </c>
      <c r="CG134" s="30"/>
      <c r="CH134" s="10">
        <v>88.05</v>
      </c>
      <c r="CI134" s="10">
        <v>6.6673</v>
      </c>
      <c r="CJ134" s="32">
        <v>2.0952000000000002E-3</v>
      </c>
      <c r="CK134" s="32"/>
      <c r="CL134" s="32"/>
      <c r="CM134" s="32"/>
      <c r="CN134" s="31">
        <v>3.2253999999999998E-2</v>
      </c>
      <c r="CO134" s="10">
        <v>0.60321999999999998</v>
      </c>
      <c r="CP134" s="10">
        <f>SUM(CH134:CO134)</f>
        <v>95.354869199999982</v>
      </c>
      <c r="CQ134" s="25"/>
      <c r="CR134" s="9"/>
      <c r="CS134" s="128">
        <v>-56.8</v>
      </c>
      <c r="CT134" s="112">
        <v>-0.7</v>
      </c>
      <c r="CU134" s="9"/>
      <c r="CV134" s="9"/>
    </row>
    <row r="135" spans="1:100" x14ac:dyDescent="0.4">
      <c r="A135" s="26">
        <v>34</v>
      </c>
      <c r="B135" s="40" t="s">
        <v>312</v>
      </c>
      <c r="C135" s="71" t="s">
        <v>313</v>
      </c>
      <c r="D135" s="122" t="s">
        <v>461</v>
      </c>
      <c r="E135" s="76">
        <v>45.153404999999999</v>
      </c>
      <c r="F135" s="42">
        <v>36.378520000000002</v>
      </c>
      <c r="G135" s="46">
        <v>-10.341214000000001</v>
      </c>
      <c r="H135" s="41">
        <v>42211</v>
      </c>
      <c r="I135" s="9">
        <f>(O135+P135+Z135/1000+AA135/1000+T135/1000+U135/1000+Y135/1000/32*96)/1000</f>
        <v>69.174620647134759</v>
      </c>
      <c r="J135" s="8"/>
      <c r="K135" s="68">
        <f t="shared" si="49"/>
        <v>43.047419421012364</v>
      </c>
      <c r="L135" s="8"/>
      <c r="M135" s="10">
        <v>7.5</v>
      </c>
      <c r="N135" s="10">
        <v>0.1</v>
      </c>
      <c r="O135" s="29">
        <v>5978</v>
      </c>
      <c r="P135" s="30">
        <v>41346</v>
      </c>
      <c r="Q135" s="30">
        <f t="shared" si="56"/>
        <v>2564.666217130276</v>
      </c>
      <c r="R135" s="30">
        <v>1285558.6763146864</v>
      </c>
      <c r="S135" s="30">
        <v>24660.390461415442</v>
      </c>
      <c r="T135" s="30">
        <v>17002418.819665369</v>
      </c>
      <c r="U135" s="30">
        <v>1585423.497737749</v>
      </c>
      <c r="V135" s="30">
        <v>800.70624876426871</v>
      </c>
      <c r="W135" s="30">
        <v>7132.8885821639442</v>
      </c>
      <c r="X135" s="30"/>
      <c r="Y135" s="30">
        <v>854888.7390434253</v>
      </c>
      <c r="Z135" s="30">
        <v>557500.20400025893</v>
      </c>
      <c r="AA135" s="30">
        <v>140611.9086011115</v>
      </c>
      <c r="AB135" s="30"/>
      <c r="AC135" s="30"/>
      <c r="AD135" s="9">
        <v>8.568719356131858</v>
      </c>
      <c r="AE135" s="30"/>
      <c r="AF135" s="30"/>
      <c r="AG135" s="30"/>
      <c r="AH135" s="30"/>
      <c r="AI135" s="30"/>
      <c r="AJ135" s="9">
        <v>8.1166328198305742</v>
      </c>
      <c r="AK135" s="9"/>
      <c r="AL135" s="30">
        <v>189617.85196671411</v>
      </c>
      <c r="AM135" s="30">
        <v>14679.099038233284</v>
      </c>
      <c r="AN135" s="30">
        <v>440.97434835662972</v>
      </c>
      <c r="AO135" s="9"/>
      <c r="AP135" s="9">
        <v>7050.9585776399435</v>
      </c>
      <c r="AQ135" s="9"/>
      <c r="AR135" s="10"/>
      <c r="AS135" s="9"/>
      <c r="AT135" s="9"/>
      <c r="AU135" s="9">
        <v>9705.9666245233166</v>
      </c>
      <c r="AV135" s="31"/>
      <c r="AW135" s="30">
        <f>1000*76.5487633346696</f>
        <v>76548.763334669595</v>
      </c>
      <c r="AX135" s="30">
        <v>979.35273525753689</v>
      </c>
      <c r="AY135" s="3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9"/>
      <c r="BS135" s="10"/>
      <c r="BT135" s="10"/>
      <c r="BU135" s="10">
        <v>493.16316103751933</v>
      </c>
      <c r="BV135" s="10"/>
      <c r="BW135" s="9">
        <f t="shared" si="53"/>
        <v>7.4462053310683105</v>
      </c>
      <c r="BX135" s="9">
        <f t="shared" si="54"/>
        <v>88.494051629304522</v>
      </c>
      <c r="BY135" s="9">
        <f t="shared" si="55"/>
        <v>4.0597430396271807</v>
      </c>
      <c r="BZ135" s="9">
        <f t="shared" si="50"/>
        <v>84.321591336098351</v>
      </c>
      <c r="CA135" s="9">
        <f t="shared" si="51"/>
        <v>0.80035065765185853</v>
      </c>
      <c r="CB135" s="9">
        <f t="shared" si="52"/>
        <v>14.878058006249798</v>
      </c>
      <c r="CC135" s="9"/>
      <c r="CD135" s="8">
        <v>20.399999999999999</v>
      </c>
      <c r="CE135" s="9">
        <v>-0.1</v>
      </c>
      <c r="CF135" s="132">
        <v>-30</v>
      </c>
      <c r="CG135" s="10"/>
      <c r="CH135" s="10">
        <v>90.69</v>
      </c>
      <c r="CI135" s="27">
        <v>7.77</v>
      </c>
      <c r="CJ135" s="27"/>
      <c r="CK135" s="27">
        <v>2.3999999999999998E-3</v>
      </c>
      <c r="CL135" s="27"/>
      <c r="CM135" s="27"/>
      <c r="CN135" s="27">
        <v>3.5999999999999997E-2</v>
      </c>
      <c r="CO135" s="27">
        <v>0.33</v>
      </c>
      <c r="CP135" s="10">
        <f>SUM(CH135:CO135)</f>
        <v>98.828399999999988</v>
      </c>
      <c r="CQ135" s="10"/>
      <c r="CR135" s="128"/>
      <c r="CS135" s="128">
        <v>-52</v>
      </c>
      <c r="CT135" s="128">
        <v>-4</v>
      </c>
      <c r="CU135" s="137"/>
      <c r="CV135" s="137"/>
    </row>
    <row r="136" spans="1:100" x14ac:dyDescent="0.4">
      <c r="A136" s="26">
        <v>34</v>
      </c>
      <c r="B136" s="44" t="s">
        <v>314</v>
      </c>
      <c r="C136" s="71" t="s">
        <v>313</v>
      </c>
      <c r="D136" s="122" t="s">
        <v>461</v>
      </c>
      <c r="E136" s="76">
        <v>45.153393000000001</v>
      </c>
      <c r="F136" s="42">
        <v>36.378507999999997</v>
      </c>
      <c r="G136" s="30">
        <v>-10</v>
      </c>
      <c r="H136" s="41">
        <v>42990</v>
      </c>
      <c r="I136" s="9">
        <f>(O136+P136+Z136/1000+AA136/1000+T136/1000+U136/1000+Y136/1000/32*96)/1000</f>
        <v>64.91628480869646</v>
      </c>
      <c r="J136" s="8"/>
      <c r="K136" s="68">
        <f t="shared" si="49"/>
        <v>44.941516986518536</v>
      </c>
      <c r="L136" s="8"/>
      <c r="M136" s="8">
        <v>7.6</v>
      </c>
      <c r="N136" s="8"/>
      <c r="O136" s="29">
        <v>3660</v>
      </c>
      <c r="P136" s="30">
        <v>35708</v>
      </c>
      <c r="Q136" s="30">
        <f t="shared" si="56"/>
        <v>349.90991000483547</v>
      </c>
      <c r="R136" s="30">
        <v>1451139.1801222847</v>
      </c>
      <c r="S136" s="30">
        <v>32286.779195643747</v>
      </c>
      <c r="T136" s="30">
        <v>22860321.468071833</v>
      </c>
      <c r="U136" s="30">
        <v>1668941.9929540567</v>
      </c>
      <c r="V136" s="30">
        <v>319.20805000000001</v>
      </c>
      <c r="W136" s="30">
        <v>8890.7117639367116</v>
      </c>
      <c r="X136" s="30"/>
      <c r="Y136" s="30">
        <v>116636.63666827849</v>
      </c>
      <c r="Z136" s="30">
        <v>581648.88070280105</v>
      </c>
      <c r="AA136" s="30">
        <v>87462.556962933711</v>
      </c>
      <c r="AB136" s="30"/>
      <c r="AC136" s="30"/>
      <c r="AD136" s="30">
        <v>46.569600000000001</v>
      </c>
      <c r="AE136" s="30">
        <v>2023.2093199757312</v>
      </c>
      <c r="AF136" s="30"/>
      <c r="AG136" s="30"/>
      <c r="AH136" s="30">
        <v>718.6244999999999</v>
      </c>
      <c r="AI136" s="30">
        <v>1082.1499999999999</v>
      </c>
      <c r="AJ136" s="30">
        <v>7.8725000000000014</v>
      </c>
      <c r="AK136" s="30">
        <v>8.4076300392172794</v>
      </c>
      <c r="AL136" s="30">
        <v>211433.26527777777</v>
      </c>
      <c r="AM136" s="30">
        <v>15275.3328363691</v>
      </c>
      <c r="AN136" s="30">
        <v>505.38875000000007</v>
      </c>
      <c r="AO136" s="30" t="e">
        <v>#VALUE!</v>
      </c>
      <c r="AP136" s="30">
        <v>3215.88</v>
      </c>
      <c r="AQ136" s="30"/>
      <c r="AR136" s="30">
        <v>10236.949583333333</v>
      </c>
      <c r="AS136" s="30"/>
      <c r="AT136" s="30">
        <v>4139.4084810343638</v>
      </c>
      <c r="AU136" s="30">
        <v>9875.875</v>
      </c>
      <c r="AV136" s="30">
        <v>1272.02</v>
      </c>
      <c r="AW136" s="30">
        <v>81434.455000000002</v>
      </c>
      <c r="AX136" s="30">
        <v>1154.74</v>
      </c>
      <c r="AY136" s="30">
        <v>953.10032142857165</v>
      </c>
      <c r="AZ136" s="30">
        <v>1688.8474999999999</v>
      </c>
      <c r="BA136" s="30">
        <v>170.45500000000001</v>
      </c>
      <c r="BB136" s="30">
        <v>483.64400000000006</v>
      </c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>
        <v>10498.384999999998</v>
      </c>
      <c r="BP136" s="30"/>
      <c r="BQ136" s="30"/>
      <c r="BR136" s="30">
        <v>29.78</v>
      </c>
      <c r="BS136" s="30"/>
      <c r="BT136" s="30"/>
      <c r="BU136" s="30">
        <v>123.28565</v>
      </c>
      <c r="BV136" s="30"/>
      <c r="BW136" s="9">
        <f t="shared" si="53"/>
        <v>5.5910225971083323</v>
      </c>
      <c r="BX136" s="9">
        <f t="shared" si="54"/>
        <v>93.72968774532599</v>
      </c>
      <c r="BY136" s="9">
        <f t="shared" si="55"/>
        <v>0.67928965756568682</v>
      </c>
      <c r="BZ136" s="9">
        <f t="shared" si="50"/>
        <v>87.524671941511201</v>
      </c>
      <c r="CA136" s="9">
        <f t="shared" si="51"/>
        <v>0.38432660271404234</v>
      </c>
      <c r="CB136" s="9">
        <f t="shared" si="52"/>
        <v>12.091001455774741</v>
      </c>
      <c r="CC136" s="9"/>
      <c r="CD136" s="8">
        <v>20.8</v>
      </c>
      <c r="CE136" s="9">
        <v>0.7</v>
      </c>
      <c r="CF136" s="30">
        <v>-29</v>
      </c>
      <c r="CG136" s="30"/>
      <c r="CH136" s="10">
        <v>83.91</v>
      </c>
      <c r="CI136" s="10">
        <v>10.763</v>
      </c>
      <c r="CJ136" s="32"/>
      <c r="CK136" s="32">
        <v>7.7482999999999996E-3</v>
      </c>
      <c r="CL136" s="32"/>
      <c r="CM136" s="32"/>
      <c r="CN136" s="31">
        <v>2.6568000000000001E-2</v>
      </c>
      <c r="CO136" s="10">
        <v>0.82786999999999999</v>
      </c>
      <c r="CP136" s="10">
        <f t="shared" ref="CP136:CP137" si="57">SUM(CH136:CO136)</f>
        <v>95.535186300000007</v>
      </c>
      <c r="CQ136" s="25"/>
      <c r="CR136" s="9"/>
      <c r="CS136" s="128">
        <v>-50.4</v>
      </c>
      <c r="CT136" s="112">
        <v>0.1</v>
      </c>
      <c r="CU136" s="9"/>
      <c r="CV136" s="9"/>
    </row>
    <row r="137" spans="1:100" x14ac:dyDescent="0.4">
      <c r="A137" s="26">
        <v>34</v>
      </c>
      <c r="B137" s="40" t="s">
        <v>315</v>
      </c>
      <c r="C137" s="71" t="s">
        <v>313</v>
      </c>
      <c r="D137" s="122" t="s">
        <v>461</v>
      </c>
      <c r="E137" s="76">
        <v>45.153396000000001</v>
      </c>
      <c r="F137" s="42">
        <v>36.378511000000003</v>
      </c>
      <c r="G137" s="30">
        <v>-9.3007240000000007</v>
      </c>
      <c r="H137" s="41">
        <v>44026</v>
      </c>
      <c r="I137" s="8"/>
      <c r="J137" s="8"/>
      <c r="K137" s="68">
        <f t="shared" si="49"/>
        <v>39.039696625739964</v>
      </c>
      <c r="L137" s="8">
        <v>-151</v>
      </c>
      <c r="M137" s="8">
        <v>7.63</v>
      </c>
      <c r="N137" s="109" t="s">
        <v>66</v>
      </c>
      <c r="O137" s="110">
        <v>3685.4166666666665</v>
      </c>
      <c r="P137" s="30">
        <v>38850</v>
      </c>
      <c r="Q137" s="30">
        <f t="shared" si="56"/>
        <v>560.03539321981634</v>
      </c>
      <c r="R137" s="30">
        <v>1049554.2133106864</v>
      </c>
      <c r="S137" s="30">
        <v>30434.490412250365</v>
      </c>
      <c r="T137" s="30">
        <v>25166163.527324259</v>
      </c>
      <c r="U137" s="30">
        <v>1595070.1040726562</v>
      </c>
      <c r="V137" s="30"/>
      <c r="W137" s="30">
        <v>7950.8692540345864</v>
      </c>
      <c r="X137" s="30"/>
      <c r="Y137" s="30">
        <v>186678.46440660546</v>
      </c>
      <c r="Z137" s="30">
        <v>636988.53892930096</v>
      </c>
      <c r="AA137" s="30">
        <v>52494.310417408749</v>
      </c>
      <c r="AB137" s="30"/>
      <c r="AC137" s="30"/>
      <c r="AD137" s="30"/>
      <c r="AE137" s="30"/>
      <c r="AF137" s="30"/>
      <c r="AG137" s="30"/>
      <c r="AH137" s="30"/>
      <c r="AI137" s="30"/>
      <c r="AJ137" s="9">
        <v>9.4785714285714295</v>
      </c>
      <c r="AK137" s="9">
        <v>13.709498051948069</v>
      </c>
      <c r="AL137" s="30">
        <v>186510.2630952381</v>
      </c>
      <c r="AM137" s="30">
        <v>12261.975069269334</v>
      </c>
      <c r="AN137" s="30">
        <v>497.36785714285713</v>
      </c>
      <c r="AO137" s="30"/>
      <c r="AP137" s="30">
        <v>3030.3749999999995</v>
      </c>
      <c r="AQ137" s="30"/>
      <c r="AR137" s="30">
        <v>2246.7125000000001</v>
      </c>
      <c r="AS137" s="30"/>
      <c r="AT137" s="30"/>
      <c r="AU137" s="30">
        <v>6772.9999999999991</v>
      </c>
      <c r="AV137" s="30">
        <v>763.5</v>
      </c>
      <c r="AW137" s="30">
        <v>69658.835999999996</v>
      </c>
      <c r="AX137" s="30">
        <v>727.67142857142858</v>
      </c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9">
        <f t="shared" si="53"/>
        <v>5.1795321524270808</v>
      </c>
      <c r="BX137" s="9">
        <f t="shared" si="54"/>
        <v>93.820219114580084</v>
      </c>
      <c r="BY137" s="9">
        <f t="shared" si="55"/>
        <v>1.0002487329928214</v>
      </c>
      <c r="BZ137" s="9">
        <f t="shared" si="50"/>
        <v>89.10065853470131</v>
      </c>
      <c r="CA137" s="9">
        <f t="shared" si="51"/>
        <v>0.2133075627440725</v>
      </c>
      <c r="CB137" s="9">
        <f t="shared" si="52"/>
        <v>10.686033902554612</v>
      </c>
      <c r="CC137" s="9"/>
      <c r="CD137" s="111">
        <v>21.6</v>
      </c>
      <c r="CE137" s="112">
        <v>-0.7</v>
      </c>
      <c r="CF137" s="113">
        <v>-20</v>
      </c>
      <c r="CG137" s="30"/>
      <c r="CH137" s="8">
        <v>92.25</v>
      </c>
      <c r="CI137" s="10">
        <v>6.0670000000000002</v>
      </c>
      <c r="CJ137" s="32">
        <v>1.799E-3</v>
      </c>
      <c r="CK137" s="31">
        <v>8.3519999999999997E-2</v>
      </c>
      <c r="CL137" s="8"/>
      <c r="CM137" s="8">
        <v>0.1225</v>
      </c>
      <c r="CN137" s="8"/>
      <c r="CO137" s="8">
        <v>0.73240000000000005</v>
      </c>
      <c r="CP137" s="10">
        <f t="shared" si="57"/>
        <v>99.257219000000006</v>
      </c>
      <c r="CQ137" s="30"/>
      <c r="CR137" s="9"/>
      <c r="CS137" s="63">
        <v>-51.3</v>
      </c>
      <c r="CT137" s="63">
        <v>4.5999999999999996</v>
      </c>
      <c r="CU137" s="9"/>
      <c r="CV137" s="9"/>
    </row>
    <row r="138" spans="1:100" x14ac:dyDescent="0.4">
      <c r="A138" s="26">
        <v>35</v>
      </c>
      <c r="B138" s="40" t="s">
        <v>316</v>
      </c>
      <c r="C138" s="71" t="s">
        <v>317</v>
      </c>
      <c r="D138" s="122" t="s">
        <v>462</v>
      </c>
      <c r="E138" s="76">
        <v>45.398712000000003</v>
      </c>
      <c r="F138" s="42">
        <v>36.336109</v>
      </c>
      <c r="G138" s="46">
        <v>116.88460499999999</v>
      </c>
      <c r="H138" s="41">
        <v>42209</v>
      </c>
      <c r="I138" s="9">
        <f>(O138+P138+Z138/1000+AA138/1000+T138/1000+U138/1000+Y138/1000/32*96)/1000</f>
        <v>10.934324226994534</v>
      </c>
      <c r="J138" s="8">
        <v>23</v>
      </c>
      <c r="K138" s="68">
        <f t="shared" si="49"/>
        <v>68.355875888037758</v>
      </c>
      <c r="L138" s="8">
        <v>435</v>
      </c>
      <c r="M138" s="10">
        <v>7.9</v>
      </c>
      <c r="N138" s="10">
        <v>0.6</v>
      </c>
      <c r="O138" s="29">
        <v>1708</v>
      </c>
      <c r="P138" s="30">
        <v>5815</v>
      </c>
      <c r="Q138" s="30">
        <f t="shared" si="56"/>
        <v>64.42309611636874</v>
      </c>
      <c r="R138" s="30">
        <v>763874.79285468778</v>
      </c>
      <c r="S138" s="30">
        <v>227100.08476133097</v>
      </c>
      <c r="T138" s="30">
        <v>3216127.1396916155</v>
      </c>
      <c r="U138" s="30">
        <v>51977.822681194833</v>
      </c>
      <c r="V138" s="30">
        <v>158.63422006627127</v>
      </c>
      <c r="W138" s="30">
        <v>4396.9020780614992</v>
      </c>
      <c r="X138" s="30"/>
      <c r="Y138" s="30">
        <v>21474.365372122913</v>
      </c>
      <c r="Z138" s="30">
        <v>34087.744514222126</v>
      </c>
      <c r="AA138" s="30">
        <v>44708.423991132637</v>
      </c>
      <c r="AB138" s="30"/>
      <c r="AC138" s="30"/>
      <c r="AD138" s="30">
        <v>207.36880548376223</v>
      </c>
      <c r="AE138" s="30"/>
      <c r="AF138" s="30"/>
      <c r="AG138" s="30"/>
      <c r="AH138" s="30"/>
      <c r="AI138" s="30"/>
      <c r="AJ138" s="9">
        <v>3.7681945460508057</v>
      </c>
      <c r="AK138" s="9"/>
      <c r="AL138" s="30">
        <v>23422.513937589865</v>
      </c>
      <c r="AM138" s="30">
        <v>1602.6282458410869</v>
      </c>
      <c r="AN138" s="30">
        <v>824.41331403895413</v>
      </c>
      <c r="AO138" s="10"/>
      <c r="AP138" s="9">
        <v>1799.203246867912</v>
      </c>
      <c r="AQ138" s="9"/>
      <c r="AR138" s="9">
        <v>10730.895726646653</v>
      </c>
      <c r="AS138" s="9"/>
      <c r="AT138" s="9"/>
      <c r="AU138" s="9">
        <v>1500.0063543790366</v>
      </c>
      <c r="AV138" s="10">
        <v>226.02746009067744</v>
      </c>
      <c r="AW138" s="30">
        <f>1000*9.94466073659962</f>
        <v>9944.6607365996188</v>
      </c>
      <c r="AX138" s="30">
        <v>268.84154310409406</v>
      </c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9"/>
      <c r="BS138" s="10"/>
      <c r="BT138" s="10"/>
      <c r="BU138" s="9">
        <v>1805.747590170072</v>
      </c>
      <c r="BV138" s="9"/>
      <c r="BW138" s="9">
        <f t="shared" si="53"/>
        <v>14.496883228668539</v>
      </c>
      <c r="BX138" s="9">
        <f t="shared" si="54"/>
        <v>84.808225326667554</v>
      </c>
      <c r="BY138" s="9">
        <f t="shared" si="55"/>
        <v>0.69489144466390418</v>
      </c>
      <c r="BZ138" s="9">
        <f t="shared" si="50"/>
        <v>95.553326581466109</v>
      </c>
      <c r="CA138" s="9">
        <f t="shared" si="51"/>
        <v>1.5245163342974422</v>
      </c>
      <c r="CB138" s="9">
        <f t="shared" si="52"/>
        <v>2.9221570842364768</v>
      </c>
      <c r="CC138" s="9"/>
      <c r="CD138" s="8">
        <v>38.9</v>
      </c>
      <c r="CE138" s="9">
        <v>3.6</v>
      </c>
      <c r="CF138" s="132">
        <v>-19</v>
      </c>
      <c r="CG138" s="9"/>
      <c r="CH138" s="10">
        <v>95.51</v>
      </c>
      <c r="CI138" s="27">
        <v>1.59</v>
      </c>
      <c r="CJ138" s="27">
        <v>5.7999999999999996E-3</v>
      </c>
      <c r="CK138" s="27"/>
      <c r="CL138" s="27"/>
      <c r="CM138" s="27"/>
      <c r="CN138" s="27">
        <v>0.03</v>
      </c>
      <c r="CO138" s="27">
        <v>0.55000000000000004</v>
      </c>
      <c r="CP138" s="10">
        <f>SUM(CH138:CO138)</f>
        <v>97.6858</v>
      </c>
      <c r="CQ138" s="10"/>
      <c r="CR138" s="9">
        <v>-2.5409999999999999</v>
      </c>
      <c r="CS138" s="128">
        <v>-37.299999999999997</v>
      </c>
      <c r="CT138" s="128">
        <v>-11.2</v>
      </c>
      <c r="CU138" s="137">
        <v>-25.6</v>
      </c>
      <c r="CV138" s="137"/>
    </row>
    <row r="139" spans="1:100" x14ac:dyDescent="0.4">
      <c r="A139" s="26">
        <v>35</v>
      </c>
      <c r="B139" s="40" t="s">
        <v>318</v>
      </c>
      <c r="C139" s="71" t="s">
        <v>317</v>
      </c>
      <c r="D139" s="122" t="s">
        <v>462</v>
      </c>
      <c r="E139" s="76">
        <v>45.398679000000001</v>
      </c>
      <c r="F139" s="42">
        <v>36.336050999999998</v>
      </c>
      <c r="G139" s="30">
        <v>123.573776</v>
      </c>
      <c r="H139" s="41">
        <v>44030</v>
      </c>
      <c r="I139" s="8"/>
      <c r="J139" s="8"/>
      <c r="K139" s="68">
        <f t="shared" si="49"/>
        <v>70.249525520200962</v>
      </c>
      <c r="L139" s="8">
        <v>88</v>
      </c>
      <c r="M139" s="8">
        <v>8</v>
      </c>
      <c r="N139" s="109" t="s">
        <v>66</v>
      </c>
      <c r="O139" s="110">
        <v>1926.5833333333333</v>
      </c>
      <c r="P139" s="30">
        <v>7683</v>
      </c>
      <c r="Q139" s="30">
        <f t="shared" si="56"/>
        <v>4.4354303753241915</v>
      </c>
      <c r="R139" s="30">
        <v>963195.5801098973</v>
      </c>
      <c r="S139" s="30">
        <v>308772.74622200005</v>
      </c>
      <c r="T139" s="30">
        <v>5471421.269492385</v>
      </c>
      <c r="U139" s="30">
        <v>70160.388270738549</v>
      </c>
      <c r="V139" s="30"/>
      <c r="W139" s="30">
        <v>4206.4045436704919</v>
      </c>
      <c r="X139" s="30"/>
      <c r="Y139" s="30">
        <v>1478.4767917747304</v>
      </c>
      <c r="Z139" s="30">
        <v>37815.576807657388</v>
      </c>
      <c r="AA139" s="30">
        <v>37174.599268158418</v>
      </c>
      <c r="AB139" s="9"/>
      <c r="AC139" s="9"/>
      <c r="AD139" s="9">
        <v>33.27428571428571</v>
      </c>
      <c r="AE139" s="30"/>
      <c r="AF139" s="9"/>
      <c r="AG139" s="9"/>
      <c r="AH139" s="9"/>
      <c r="AI139" s="9"/>
      <c r="AJ139" s="9">
        <v>7.1514285714285712</v>
      </c>
      <c r="AK139" s="9">
        <v>6.4700670389610409</v>
      </c>
      <c r="AL139" s="30">
        <v>28802.105238095239</v>
      </c>
      <c r="AM139" s="30">
        <v>2513.0979560525643</v>
      </c>
      <c r="AN139" s="30">
        <v>1917.2949814031642</v>
      </c>
      <c r="AO139" s="30"/>
      <c r="AP139" s="30">
        <v>2249.75</v>
      </c>
      <c r="AQ139" s="30"/>
      <c r="AR139" s="30">
        <v>4332.085</v>
      </c>
      <c r="AS139" s="30"/>
      <c r="AT139" s="30"/>
      <c r="AU139" s="30"/>
      <c r="AV139" s="30">
        <v>193.76</v>
      </c>
      <c r="AW139" s="30">
        <v>10262.574400000001</v>
      </c>
      <c r="AX139" s="30">
        <v>188.66857142857143</v>
      </c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>
        <v>470.71885714285719</v>
      </c>
      <c r="BV139" s="30"/>
      <c r="BW139" s="9">
        <f t="shared" si="53"/>
        <v>12.730170552025763</v>
      </c>
      <c r="BX139" s="9">
        <f t="shared" si="54"/>
        <v>87.232584207110435</v>
      </c>
      <c r="BY139" s="9">
        <f t="shared" si="55"/>
        <v>3.724524086379459E-2</v>
      </c>
      <c r="BZ139" s="9">
        <f t="shared" si="50"/>
        <v>96.893403351508425</v>
      </c>
      <c r="CA139" s="9">
        <f t="shared" si="51"/>
        <v>0.75556263189961503</v>
      </c>
      <c r="CB139" s="9">
        <f t="shared" si="52"/>
        <v>2.351034016591969</v>
      </c>
      <c r="CC139" s="9"/>
      <c r="CD139" s="111">
        <v>36.799999999999997</v>
      </c>
      <c r="CE139" s="112">
        <v>6.4</v>
      </c>
      <c r="CF139" s="113">
        <v>-11</v>
      </c>
      <c r="CG139" s="30"/>
      <c r="CH139" s="8">
        <v>97.23</v>
      </c>
      <c r="CI139" s="10">
        <v>1.69</v>
      </c>
      <c r="CJ139" s="32">
        <v>6.3169999999999997E-3</v>
      </c>
      <c r="CK139" s="32">
        <v>1.242E-2</v>
      </c>
      <c r="CL139" s="8"/>
      <c r="CM139" s="8">
        <v>7.7299999999999994E-2</v>
      </c>
      <c r="CN139" s="8"/>
      <c r="CO139" s="8">
        <v>0.91800000000000004</v>
      </c>
      <c r="CP139" s="10">
        <f>SUM(CH139:CO139)</f>
        <v>99.934037000000004</v>
      </c>
      <c r="CQ139" s="30"/>
      <c r="CR139" s="9"/>
      <c r="CS139" s="63">
        <v>-37.200000000000003</v>
      </c>
      <c r="CT139" s="63">
        <v>-2.8</v>
      </c>
      <c r="CU139" s="9"/>
      <c r="CV139" s="9"/>
    </row>
    <row r="140" spans="1:100" x14ac:dyDescent="0.4">
      <c r="A140" s="26">
        <v>36</v>
      </c>
      <c r="B140" s="40" t="s">
        <v>319</v>
      </c>
      <c r="C140" s="71" t="s">
        <v>320</v>
      </c>
      <c r="D140" s="120" t="s">
        <v>466</v>
      </c>
      <c r="E140" s="76">
        <v>45.446843999999999</v>
      </c>
      <c r="F140" s="42">
        <v>36.112164</v>
      </c>
      <c r="G140" s="46">
        <v>38.040134000000002</v>
      </c>
      <c r="H140" s="41">
        <v>42204</v>
      </c>
      <c r="I140" s="8"/>
      <c r="J140" s="8"/>
      <c r="K140" s="68"/>
      <c r="L140" s="8"/>
      <c r="M140" s="10"/>
      <c r="N140" s="10"/>
      <c r="O140" s="29"/>
      <c r="P140" s="30"/>
      <c r="Q140" s="30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9"/>
      <c r="BX140" s="9"/>
      <c r="BY140" s="9"/>
      <c r="BZ140" s="9"/>
      <c r="CA140" s="9"/>
      <c r="CB140" s="9"/>
      <c r="CC140" s="9"/>
      <c r="CD140" s="8">
        <v>27.1</v>
      </c>
      <c r="CE140" s="9">
        <v>-0.5</v>
      </c>
      <c r="CF140" s="132">
        <v>-21</v>
      </c>
      <c r="CG140" s="8"/>
      <c r="CH140" s="10">
        <v>91.06</v>
      </c>
      <c r="CI140" s="27">
        <v>6.05</v>
      </c>
      <c r="CJ140" s="27">
        <v>1.1999999999999999E-3</v>
      </c>
      <c r="CK140" s="27"/>
      <c r="CL140" s="27"/>
      <c r="CM140" s="27"/>
      <c r="CN140" s="27">
        <v>5.7000000000000002E-3</v>
      </c>
      <c r="CO140" s="27">
        <v>0.56000000000000005</v>
      </c>
      <c r="CP140" s="10">
        <f>SUM(CH140:CO140)</f>
        <v>97.676900000000003</v>
      </c>
      <c r="CQ140" s="10"/>
      <c r="CR140" s="128">
        <v>-2.2999999999999998</v>
      </c>
      <c r="CS140" s="128">
        <v>-46.8</v>
      </c>
      <c r="CT140" s="128">
        <v>3.5</v>
      </c>
      <c r="CU140" s="9"/>
      <c r="CV140" s="9"/>
    </row>
    <row r="141" spans="1:100" x14ac:dyDescent="0.4">
      <c r="A141" s="26">
        <v>36</v>
      </c>
      <c r="B141" s="40" t="s">
        <v>321</v>
      </c>
      <c r="C141" s="71" t="s">
        <v>322</v>
      </c>
      <c r="D141" s="120" t="s">
        <v>463</v>
      </c>
      <c r="E141" s="76">
        <v>45.44706</v>
      </c>
      <c r="F141" s="42">
        <v>36.113498999999997</v>
      </c>
      <c r="G141" s="46">
        <v>17.94772</v>
      </c>
      <c r="H141" s="41">
        <v>42204</v>
      </c>
      <c r="I141" s="9">
        <f t="shared" ref="I141:I150" si="58">(O141+P141+Z141/1000+AA141/1000+T141/1000+U141/1000+Y141/1000/32*96)/1000</f>
        <v>22.790482241545323</v>
      </c>
      <c r="J141" s="8">
        <v>13</v>
      </c>
      <c r="K141" s="68">
        <f t="shared" ref="K141:K150" si="59">2200/(LOG(((U141/1000)^0.5)/(R141/1000000))+5.47)-273</f>
        <v>51.514433214030191</v>
      </c>
      <c r="L141" s="8">
        <v>-29</v>
      </c>
      <c r="M141" s="10">
        <v>7</v>
      </c>
      <c r="N141" s="10"/>
      <c r="O141" s="29">
        <v>2562</v>
      </c>
      <c r="P141" s="30">
        <v>2</v>
      </c>
      <c r="Q141" s="30">
        <f t="shared" ref="Q141:Q147" si="60">Y141/32*96/1000</f>
        <v>14841.105584379527</v>
      </c>
      <c r="R141" s="30">
        <v>622015.61779279436</v>
      </c>
      <c r="S141" s="30">
        <v>17389.652755019124</v>
      </c>
      <c r="T141" s="30">
        <v>5032477.0363397598</v>
      </c>
      <c r="U141" s="30">
        <v>160813.14423615145</v>
      </c>
      <c r="V141" s="30">
        <v>449.11683796925621</v>
      </c>
      <c r="W141" s="30">
        <v>8191.089640365004</v>
      </c>
      <c r="X141" s="30"/>
      <c r="Y141" s="30">
        <v>4947035.1947931759</v>
      </c>
      <c r="Z141" s="30">
        <v>80834.186965300207</v>
      </c>
      <c r="AA141" s="30">
        <v>111252.28962458539</v>
      </c>
      <c r="AB141" s="30"/>
      <c r="AC141" s="30"/>
      <c r="AD141" s="9">
        <v>22.638984653222536</v>
      </c>
      <c r="AE141" s="30"/>
      <c r="AF141" s="30"/>
      <c r="AG141" s="30"/>
      <c r="AH141" s="30"/>
      <c r="AI141" s="30"/>
      <c r="AJ141" s="9">
        <v>14.990855704953553</v>
      </c>
      <c r="AK141" s="9"/>
      <c r="AL141" s="30">
        <v>54552.389042281058</v>
      </c>
      <c r="AM141" s="30">
        <v>4685.361975515576</v>
      </c>
      <c r="AN141" s="30">
        <v>435.0762667717338</v>
      </c>
      <c r="AO141" s="9"/>
      <c r="AP141" s="9"/>
      <c r="AQ141" s="9"/>
      <c r="AR141" s="10"/>
      <c r="AS141" s="9"/>
      <c r="AT141" s="9"/>
      <c r="AU141" s="9">
        <v>1098.4810789421931</v>
      </c>
      <c r="AV141" s="31"/>
      <c r="AW141" s="30">
        <f>12.3605931149907*1000</f>
        <v>12360.593114990699</v>
      </c>
      <c r="AX141" s="30">
        <v>167.19820065135539</v>
      </c>
      <c r="AY141" s="3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9"/>
      <c r="BS141" s="10"/>
      <c r="BT141" s="10"/>
      <c r="BU141" s="10">
        <v>157.32842870699363</v>
      </c>
      <c r="BV141" s="10"/>
      <c r="BW141" s="9">
        <f t="shared" ref="BW141:BW150" si="61">O141/61/(O141/61+P141/35.5+Q141/96*2)*100</f>
        <v>11.957430260193954</v>
      </c>
      <c r="BX141" s="9">
        <f t="shared" ref="BX141:BX150" si="62">P141/35.5/(O141/61+P141/35.5+Q141/96*2)*100</f>
        <v>1.6039477210186392E-2</v>
      </c>
      <c r="BY141" s="9">
        <f t="shared" ref="BY141:BY150" si="63">Q141/96*2/(O141/61+P141/35.5+Q141/96*2)*100</f>
        <v>88.026530262595855</v>
      </c>
      <c r="BZ141" s="9">
        <f t="shared" ref="BZ141:BZ150" si="64">T141/23/(T141/23+U141/24.31*2+AA141/40.08*2)*100</f>
        <v>92.094740224325804</v>
      </c>
      <c r="CA141" s="9">
        <f t="shared" ref="CA141:CA150" si="65">AA141/40.08*2/(T141/23+U141/24.31*2+AA141/40.08*2)*100</f>
        <v>2.3366415870390349</v>
      </c>
      <c r="CB141" s="9">
        <f t="shared" ref="CB141:CB150" si="66">U141/24.31*2/(T141/23+U141/24.31*2+AA141/40.08*2)*100</f>
        <v>5.5686181886351642</v>
      </c>
      <c r="CC141" s="9"/>
      <c r="CD141" s="8">
        <v>-12.3</v>
      </c>
      <c r="CE141" s="9">
        <v>-3.2</v>
      </c>
      <c r="CF141" s="132">
        <v>-41</v>
      </c>
      <c r="CG141" s="10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128"/>
      <c r="CS141" s="128"/>
      <c r="CT141" s="128"/>
      <c r="CU141" s="137"/>
      <c r="CV141" s="137"/>
    </row>
    <row r="142" spans="1:100" x14ac:dyDescent="0.4">
      <c r="A142" s="26">
        <v>37</v>
      </c>
      <c r="B142" s="40" t="s">
        <v>323</v>
      </c>
      <c r="C142" s="69" t="s">
        <v>324</v>
      </c>
      <c r="D142" s="122" t="s">
        <v>464</v>
      </c>
      <c r="E142" s="76">
        <v>45.116287999999997</v>
      </c>
      <c r="F142" s="42">
        <v>36.023136999999998</v>
      </c>
      <c r="G142" s="46">
        <v>61.200684000000003</v>
      </c>
      <c r="H142" s="41">
        <v>42211</v>
      </c>
      <c r="I142" s="9">
        <f t="shared" si="58"/>
        <v>6.90476855377156</v>
      </c>
      <c r="J142" s="8">
        <v>25.2</v>
      </c>
      <c r="K142" s="68">
        <f t="shared" si="59"/>
        <v>105.05723212679681</v>
      </c>
      <c r="L142" s="8">
        <v>23</v>
      </c>
      <c r="M142" s="10">
        <v>8.48</v>
      </c>
      <c r="N142" s="10">
        <v>3.1</v>
      </c>
      <c r="O142" s="29">
        <v>3721</v>
      </c>
      <c r="P142" s="30">
        <v>1418</v>
      </c>
      <c r="Q142" s="30">
        <f t="shared" si="60"/>
        <v>12.787956148783163</v>
      </c>
      <c r="R142" s="30">
        <v>705007.20959688048</v>
      </c>
      <c r="S142" s="30">
        <v>136207.41521640352</v>
      </c>
      <c r="T142" s="30">
        <v>1735141.3023692199</v>
      </c>
      <c r="U142" s="30">
        <v>2482.1990513570904</v>
      </c>
      <c r="V142" s="30">
        <v>175.61233839035253</v>
      </c>
      <c r="W142" s="30">
        <v>11678.817523339867</v>
      </c>
      <c r="X142" s="30"/>
      <c r="Y142" s="30">
        <v>4262.6520495943878</v>
      </c>
      <c r="Z142" s="30">
        <v>9474.1576579238517</v>
      </c>
      <c r="AA142" s="30">
        <v>5882.9385442752164</v>
      </c>
      <c r="AB142" s="30"/>
      <c r="AC142" s="30"/>
      <c r="AD142" s="9">
        <v>23.671520525263244</v>
      </c>
      <c r="AE142" s="30">
        <v>189.59032336613978</v>
      </c>
      <c r="AF142" s="30"/>
      <c r="AG142" s="30"/>
      <c r="AH142" s="30"/>
      <c r="AI142" s="30"/>
      <c r="AJ142" s="9">
        <v>42.071695319467899</v>
      </c>
      <c r="AK142" s="9">
        <v>18.908381776347387</v>
      </c>
      <c r="AL142" s="30">
        <v>10662.186647852654</v>
      </c>
      <c r="AM142" s="30">
        <v>1454.6344631644843</v>
      </c>
      <c r="AN142" s="30">
        <v>59718.462006137495</v>
      </c>
      <c r="AO142" s="10">
        <f>1000*0.114879572508765</f>
        <v>114.87957250876501</v>
      </c>
      <c r="AP142" s="9">
        <v>957.31186583341594</v>
      </c>
      <c r="AQ142" s="9"/>
      <c r="AR142" s="9">
        <v>4396.476801112457</v>
      </c>
      <c r="AS142" s="9"/>
      <c r="AT142" s="9"/>
      <c r="AU142" s="9">
        <v>1764.7697433655171</v>
      </c>
      <c r="AV142" s="10">
        <v>588.76903715733624</v>
      </c>
      <c r="AW142" s="30">
        <f>1000*8.72227589333458</f>
        <v>8722.2758933345795</v>
      </c>
      <c r="AX142" s="30">
        <v>96.651518664597532</v>
      </c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9"/>
      <c r="BS142" s="10"/>
      <c r="BT142" s="10"/>
      <c r="BU142" s="10">
        <v>126.51282404126863</v>
      </c>
      <c r="BV142" s="10"/>
      <c r="BW142" s="9">
        <f t="shared" si="61"/>
        <v>60.270677951444895</v>
      </c>
      <c r="BX142" s="9">
        <f t="shared" si="62"/>
        <v>39.466091588616415</v>
      </c>
      <c r="BY142" s="9">
        <f t="shared" si="63"/>
        <v>0.26323045993869854</v>
      </c>
      <c r="BZ142" s="9">
        <f t="shared" si="64"/>
        <v>99.34450813639549</v>
      </c>
      <c r="CA142" s="9">
        <f t="shared" si="65"/>
        <v>0.38657471703168278</v>
      </c>
      <c r="CB142" s="9">
        <f t="shared" si="66"/>
        <v>0.26891714657281923</v>
      </c>
      <c r="CC142" s="9"/>
      <c r="CD142" s="8">
        <v>-1.5</v>
      </c>
      <c r="CE142" s="9">
        <v>10.4</v>
      </c>
      <c r="CF142" s="132">
        <v>-23</v>
      </c>
      <c r="CG142" s="10"/>
      <c r="CH142" s="10">
        <v>95.32</v>
      </c>
      <c r="CI142" s="27">
        <v>1.01</v>
      </c>
      <c r="CJ142" s="27">
        <v>1.2E-2</v>
      </c>
      <c r="CK142" s="27">
        <v>1E-3</v>
      </c>
      <c r="CL142" s="27"/>
      <c r="CM142" s="27"/>
      <c r="CN142" s="27">
        <v>2.8000000000000001E-2</v>
      </c>
      <c r="CO142" s="27">
        <v>0.78</v>
      </c>
      <c r="CP142" s="10">
        <f t="shared" ref="CP142:CP147" si="67">SUM(CH142:CO142)</f>
        <v>97.15100000000001</v>
      </c>
      <c r="CQ142" s="10"/>
      <c r="CR142" s="9">
        <v>-2.569</v>
      </c>
      <c r="CS142" s="128">
        <v>-37.299999999999997</v>
      </c>
      <c r="CT142" s="128">
        <v>-23.8</v>
      </c>
      <c r="CU142" s="137"/>
      <c r="CV142" s="137"/>
    </row>
    <row r="143" spans="1:100" x14ac:dyDescent="0.4">
      <c r="A143" s="26">
        <v>37</v>
      </c>
      <c r="B143" s="40" t="s">
        <v>325</v>
      </c>
      <c r="C143" s="69" t="s">
        <v>324</v>
      </c>
      <c r="D143" s="122" t="s">
        <v>464</v>
      </c>
      <c r="E143" s="76">
        <v>45.116278000000001</v>
      </c>
      <c r="F143" s="42">
        <v>36.023164000000001</v>
      </c>
      <c r="G143" s="30">
        <v>63.040137999999999</v>
      </c>
      <c r="H143" s="41">
        <v>44026</v>
      </c>
      <c r="I143" s="9">
        <f t="shared" si="58"/>
        <v>6.229272995568361</v>
      </c>
      <c r="J143" s="8"/>
      <c r="K143" s="68">
        <f t="shared" si="59"/>
        <v>108.1370357575542</v>
      </c>
      <c r="L143" s="8">
        <v>-93</v>
      </c>
      <c r="M143" s="8">
        <v>8.56</v>
      </c>
      <c r="N143" s="109" t="s">
        <v>66</v>
      </c>
      <c r="O143" s="110">
        <v>2948.3333333333335</v>
      </c>
      <c r="P143" s="30">
        <v>1229</v>
      </c>
      <c r="Q143" s="30">
        <f t="shared" si="60"/>
        <v>3.1661865114176844</v>
      </c>
      <c r="R143" s="30">
        <v>727532.51521868608</v>
      </c>
      <c r="S143" s="30">
        <v>150768.16883904845</v>
      </c>
      <c r="T143" s="30">
        <v>2031707.8821778311</v>
      </c>
      <c r="U143" s="30">
        <v>2128.6733600245461</v>
      </c>
      <c r="V143" s="9">
        <v>23.122857142857136</v>
      </c>
      <c r="W143" s="30">
        <v>15090.342391429824</v>
      </c>
      <c r="X143" s="9">
        <v>683.98708792874731</v>
      </c>
      <c r="Y143" s="30">
        <v>1055.3955038058948</v>
      </c>
      <c r="Z143" s="30">
        <v>9629.0609843028851</v>
      </c>
      <c r="AA143" s="30">
        <v>5307.8592014507294</v>
      </c>
      <c r="AB143" s="10"/>
      <c r="AC143" s="9"/>
      <c r="AD143" s="9">
        <v>29.377142857142857</v>
      </c>
      <c r="AE143" s="30">
        <v>316.73980468249874</v>
      </c>
      <c r="AF143" s="10"/>
      <c r="AG143" s="9"/>
      <c r="AH143" s="9"/>
      <c r="AI143" s="9">
        <v>13.392857142857142</v>
      </c>
      <c r="AJ143" s="9">
        <v>35.505714285714291</v>
      </c>
      <c r="AK143" s="9">
        <v>18.927043974025974</v>
      </c>
      <c r="AL143" s="30">
        <v>10087.052619047619</v>
      </c>
      <c r="AM143" s="30">
        <v>1673.6890375379708</v>
      </c>
      <c r="AN143" s="30">
        <v>76754.873004226596</v>
      </c>
      <c r="AO143" s="9">
        <v>182.24031321320086</v>
      </c>
      <c r="AP143" s="30">
        <v>452.77499999999998</v>
      </c>
      <c r="AQ143" s="9"/>
      <c r="AR143" s="30">
        <v>5543.5424999999996</v>
      </c>
      <c r="AS143" s="9"/>
      <c r="AT143" s="9"/>
      <c r="AU143" s="9"/>
      <c r="AV143" s="30">
        <v>262.50857142857143</v>
      </c>
      <c r="AW143" s="30">
        <v>8116.0871999999999</v>
      </c>
      <c r="AX143" s="9">
        <v>84.364285714285714</v>
      </c>
      <c r="AY143" s="9"/>
      <c r="AZ143" s="30">
        <v>278.98571428571427</v>
      </c>
      <c r="BA143" s="9">
        <v>35.645714285714291</v>
      </c>
      <c r="BB143" s="30">
        <v>169.75399999999999</v>
      </c>
      <c r="BC143" s="30">
        <v>345.75285714285718</v>
      </c>
      <c r="BD143" s="9"/>
      <c r="BE143" s="9">
        <v>23.459999999999997</v>
      </c>
      <c r="BF143" s="9"/>
      <c r="BG143" s="9"/>
      <c r="BH143" s="9"/>
      <c r="BI143" s="9"/>
      <c r="BJ143" s="9"/>
      <c r="BK143" s="9">
        <v>17.72</v>
      </c>
      <c r="BL143" s="9">
        <v>9.1085714285714268</v>
      </c>
      <c r="BM143" s="9"/>
      <c r="BN143" s="9"/>
      <c r="BO143" s="30">
        <v>4796.1292857142853</v>
      </c>
      <c r="BP143" s="9"/>
      <c r="BQ143" s="9"/>
      <c r="BR143" s="10"/>
      <c r="BS143" s="9"/>
      <c r="BT143" s="9">
        <v>48.729942857142866</v>
      </c>
      <c r="BU143" s="9">
        <v>48.076228571428572</v>
      </c>
      <c r="BV143" s="9"/>
      <c r="BW143" s="9">
        <f t="shared" si="61"/>
        <v>58.219594626324259</v>
      </c>
      <c r="BX143" s="9">
        <f t="shared" si="62"/>
        <v>41.700951022293829</v>
      </c>
      <c r="BY143" s="9">
        <f t="shared" si="63"/>
        <v>7.9454351381928176E-2</v>
      </c>
      <c r="BZ143" s="9">
        <f t="shared" si="64"/>
        <v>99.504376182884215</v>
      </c>
      <c r="CA143" s="9">
        <f t="shared" si="65"/>
        <v>0.29835301348777837</v>
      </c>
      <c r="CB143" s="9">
        <f t="shared" si="66"/>
        <v>0.19727080362800897</v>
      </c>
      <c r="CC143" s="9"/>
      <c r="CD143" s="111">
        <v>-2.2999999999999998</v>
      </c>
      <c r="CE143" s="112">
        <v>10.4</v>
      </c>
      <c r="CF143" s="113">
        <v>-15</v>
      </c>
      <c r="CG143" s="9"/>
      <c r="CH143" s="8">
        <v>94.79</v>
      </c>
      <c r="CI143" s="10">
        <v>1.2609999999999999</v>
      </c>
      <c r="CJ143" s="8">
        <v>1.431E-2</v>
      </c>
      <c r="CK143" s="8"/>
      <c r="CL143" s="8">
        <v>0.2213</v>
      </c>
      <c r="CM143" s="8">
        <v>6.2219999999999998E-2</v>
      </c>
      <c r="CN143" s="8"/>
      <c r="CO143" s="8">
        <v>3.3079999999999998</v>
      </c>
      <c r="CP143" s="10">
        <f t="shared" si="67"/>
        <v>99.656829999999985</v>
      </c>
      <c r="CQ143" s="30"/>
      <c r="CR143" s="9"/>
      <c r="CS143" s="63">
        <v>-36.4</v>
      </c>
      <c r="CT143" s="9"/>
      <c r="CU143" s="9"/>
      <c r="CV143" s="9"/>
    </row>
    <row r="144" spans="1:100" x14ac:dyDescent="0.4">
      <c r="A144" s="26">
        <v>38</v>
      </c>
      <c r="B144" s="40" t="s">
        <v>326</v>
      </c>
      <c r="C144" s="71" t="s">
        <v>327</v>
      </c>
      <c r="D144" s="122" t="s">
        <v>465</v>
      </c>
      <c r="E144" s="76">
        <v>45.121333</v>
      </c>
      <c r="F144" s="42">
        <v>35.999803999999997</v>
      </c>
      <c r="G144" s="46">
        <v>74.398528999999996</v>
      </c>
      <c r="H144" s="41">
        <v>42211</v>
      </c>
      <c r="I144" s="9">
        <f t="shared" si="58"/>
        <v>14.018571039350958</v>
      </c>
      <c r="J144" s="8">
        <v>22.7</v>
      </c>
      <c r="K144" s="68">
        <f t="shared" si="59"/>
        <v>101.26432865419997</v>
      </c>
      <c r="L144" s="8">
        <v>86</v>
      </c>
      <c r="M144" s="10">
        <v>8.3800000000000008</v>
      </c>
      <c r="N144" s="10">
        <v>1.3</v>
      </c>
      <c r="O144" s="29">
        <v>7808</v>
      </c>
      <c r="P144" s="30">
        <v>1773</v>
      </c>
      <c r="Q144" s="30">
        <f t="shared" si="60"/>
        <v>223.51914460145224</v>
      </c>
      <c r="R144" s="30">
        <v>1246350.8410359845</v>
      </c>
      <c r="S144" s="30">
        <v>315855.72119236842</v>
      </c>
      <c r="T144" s="30">
        <v>4183724.8041461003</v>
      </c>
      <c r="U144" s="30">
        <v>10178.353741997034</v>
      </c>
      <c r="V144" s="30">
        <v>161.58618209566168</v>
      </c>
      <c r="W144" s="30">
        <v>1243.7696495667512</v>
      </c>
      <c r="X144" s="30">
        <v>1288.9793886214445</v>
      </c>
      <c r="Y144" s="30">
        <v>74506.381533817417</v>
      </c>
      <c r="Z144" s="30">
        <v>14079.009040068087</v>
      </c>
      <c r="AA144" s="30">
        <v>6069.7278213391346</v>
      </c>
      <c r="AB144" s="9">
        <v>4.4929832781758146</v>
      </c>
      <c r="AC144" s="30"/>
      <c r="AD144" s="9">
        <v>11.892325319547083</v>
      </c>
      <c r="AE144" s="30">
        <v>189.61414165831451</v>
      </c>
      <c r="AF144" s="30"/>
      <c r="AG144" s="30"/>
      <c r="AH144" s="30"/>
      <c r="AI144" s="30"/>
      <c r="AJ144" s="9">
        <v>9.2828371159431455</v>
      </c>
      <c r="AK144" s="9">
        <v>22.910250851823484</v>
      </c>
      <c r="AL144" s="30">
        <v>11403.626989664843</v>
      </c>
      <c r="AM144" s="30">
        <v>986.73539504205894</v>
      </c>
      <c r="AN144" s="30">
        <v>265.28935379220036</v>
      </c>
      <c r="AO144" s="10">
        <f>1000*0.180783253720809</f>
        <v>180.783253720809</v>
      </c>
      <c r="AP144" s="9">
        <v>27608.226609969053</v>
      </c>
      <c r="AQ144" s="9"/>
      <c r="AR144" s="9">
        <v>44379.138055441021</v>
      </c>
      <c r="AS144" s="9"/>
      <c r="AT144" s="9"/>
      <c r="AU144" s="9">
        <v>1927.8266965862119</v>
      </c>
      <c r="AV144" s="10">
        <v>1657.2580572081033</v>
      </c>
      <c r="AW144" s="30">
        <f>1000*1.65462644057852</f>
        <v>1654.62644057852</v>
      </c>
      <c r="AX144" s="3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9"/>
      <c r="BS144" s="10"/>
      <c r="BT144" s="10"/>
      <c r="BU144" s="9">
        <v>1545.4946353753689</v>
      </c>
      <c r="BV144" s="9"/>
      <c r="BW144" s="9">
        <f t="shared" si="61"/>
        <v>70.098456802624668</v>
      </c>
      <c r="BX144" s="9">
        <f t="shared" si="62"/>
        <v>27.351356494510014</v>
      </c>
      <c r="BY144" s="9">
        <f t="shared" si="63"/>
        <v>2.5501867028653185</v>
      </c>
      <c r="BZ144" s="9">
        <f t="shared" si="64"/>
        <v>99.377047489557896</v>
      </c>
      <c r="CA144" s="9">
        <f t="shared" si="65"/>
        <v>0.16547116152349767</v>
      </c>
      <c r="CB144" s="9">
        <f t="shared" si="66"/>
        <v>0.45748134891862391</v>
      </c>
      <c r="CC144" s="9"/>
      <c r="CD144" s="8">
        <v>37.200000000000003</v>
      </c>
      <c r="CE144" s="9">
        <v>11.2</v>
      </c>
      <c r="CF144" s="132">
        <v>-14.2</v>
      </c>
      <c r="CG144" s="9"/>
      <c r="CH144" s="10">
        <v>82.15</v>
      </c>
      <c r="CI144" s="27">
        <v>1.82</v>
      </c>
      <c r="CJ144" s="27">
        <v>1.4999999999999999E-2</v>
      </c>
      <c r="CK144" s="27"/>
      <c r="CL144" s="27"/>
      <c r="CM144" s="27"/>
      <c r="CN144" s="27">
        <v>3.26</v>
      </c>
      <c r="CO144" s="27">
        <v>12.4</v>
      </c>
      <c r="CP144" s="10">
        <f t="shared" si="67"/>
        <v>99.64500000000001</v>
      </c>
      <c r="CQ144" s="10"/>
      <c r="CR144" s="9">
        <v>-3.1066666666666669</v>
      </c>
      <c r="CS144" s="128">
        <v>-37.200000000000003</v>
      </c>
      <c r="CT144" s="128">
        <v>-10.4</v>
      </c>
      <c r="CU144" s="137">
        <v>-27.4</v>
      </c>
      <c r="CV144" s="137"/>
    </row>
    <row r="145" spans="1:100" x14ac:dyDescent="0.4">
      <c r="A145" s="26">
        <v>38</v>
      </c>
      <c r="B145" s="40" t="s">
        <v>328</v>
      </c>
      <c r="C145" s="69" t="s">
        <v>327</v>
      </c>
      <c r="D145" s="122" t="s">
        <v>465</v>
      </c>
      <c r="E145" s="76">
        <v>45.121788000000002</v>
      </c>
      <c r="F145" s="42">
        <v>36.000819999999997</v>
      </c>
      <c r="G145" s="30">
        <v>74.829704000000007</v>
      </c>
      <c r="H145" s="41">
        <v>44029</v>
      </c>
      <c r="I145" s="9">
        <f t="shared" si="58"/>
        <v>17.323029469124663</v>
      </c>
      <c r="J145" s="8"/>
      <c r="K145" s="68">
        <f t="shared" si="59"/>
        <v>96.999592753633181</v>
      </c>
      <c r="L145" s="8"/>
      <c r="M145" s="8">
        <v>9.2200000000000006</v>
      </c>
      <c r="N145" s="109" t="s">
        <v>66</v>
      </c>
      <c r="O145" s="110">
        <v>6628.666666666667</v>
      </c>
      <c r="P145" s="30">
        <v>3736</v>
      </c>
      <c r="Q145" s="30">
        <f t="shared" si="60"/>
        <v>1026.4107281348427</v>
      </c>
      <c r="R145" s="30">
        <v>946461.79522692796</v>
      </c>
      <c r="S145" s="30">
        <v>415296.21258210053</v>
      </c>
      <c r="T145" s="30">
        <v>5905750.1613321332</v>
      </c>
      <c r="U145" s="30">
        <v>8018.8327762310582</v>
      </c>
      <c r="V145" s="30">
        <v>196.6057142857143</v>
      </c>
      <c r="W145" s="30">
        <v>1175.0744580149149</v>
      </c>
      <c r="X145" s="30">
        <v>2045.1553051731855</v>
      </c>
      <c r="Y145" s="30">
        <v>342136.90937828086</v>
      </c>
      <c r="Z145" s="30">
        <v>12842.57958333197</v>
      </c>
      <c r="AA145" s="30">
        <v>5340.5006314562352</v>
      </c>
      <c r="AB145" s="9">
        <v>30.930479770649132</v>
      </c>
      <c r="AC145" s="9"/>
      <c r="AD145" s="9">
        <v>55.354285714285716</v>
      </c>
      <c r="AE145" s="30">
        <v>146.50670410612162</v>
      </c>
      <c r="AF145" s="9"/>
      <c r="AG145" s="9">
        <v>27.653094432282266</v>
      </c>
      <c r="AH145" s="9"/>
      <c r="AI145" s="30">
        <v>606.64</v>
      </c>
      <c r="AJ145" s="9">
        <v>15.871428571428572</v>
      </c>
      <c r="AK145" s="9">
        <v>27.409081220779218</v>
      </c>
      <c r="AL145" s="30">
        <v>22036.105238095239</v>
      </c>
      <c r="AM145" s="30">
        <v>1005.9714285714288</v>
      </c>
      <c r="AN145" s="30">
        <v>168.70714285714286</v>
      </c>
      <c r="AO145" s="30">
        <v>447.17795918367347</v>
      </c>
      <c r="AP145" s="30">
        <v>32815.145454545454</v>
      </c>
      <c r="AQ145" s="30">
        <v>161.24285714285716</v>
      </c>
      <c r="AR145" s="30">
        <v>120544.08500000002</v>
      </c>
      <c r="AS145" s="30"/>
      <c r="AT145" s="30">
        <v>359.39652044387799</v>
      </c>
      <c r="AU145" s="30">
        <v>853.6</v>
      </c>
      <c r="AV145" s="30">
        <v>1521.68</v>
      </c>
      <c r="AW145" s="30">
        <v>3260.4624000000008</v>
      </c>
      <c r="AX145" s="30"/>
      <c r="AY145" s="30">
        <v>161.03122448979593</v>
      </c>
      <c r="AZ145" s="30">
        <v>167.25142857142856</v>
      </c>
      <c r="BA145" s="9">
        <v>47.691428571428574</v>
      </c>
      <c r="BB145" s="30">
        <v>171.83999999999997</v>
      </c>
      <c r="BC145" s="9">
        <v>34.679999999999993</v>
      </c>
      <c r="BD145" s="9"/>
      <c r="BE145" s="9">
        <v>58.919999999999995</v>
      </c>
      <c r="BF145" s="9"/>
      <c r="BG145" s="9">
        <v>52.902857142857144</v>
      </c>
      <c r="BH145" s="9"/>
      <c r="BI145" s="9">
        <v>78.371428571428567</v>
      </c>
      <c r="BJ145" s="9">
        <v>13.32</v>
      </c>
      <c r="BK145" s="9">
        <v>71.239999999999995</v>
      </c>
      <c r="BL145" s="9">
        <v>22.717142857142857</v>
      </c>
      <c r="BM145" s="30">
        <v>701.28571428571433</v>
      </c>
      <c r="BN145" s="30"/>
      <c r="BO145" s="30">
        <v>303.88285714285712</v>
      </c>
      <c r="BP145" s="30">
        <v>179.08857142857141</v>
      </c>
      <c r="BQ145" s="30"/>
      <c r="BR145" s="30"/>
      <c r="BS145" s="30"/>
      <c r="BT145" s="30">
        <v>207.80388571428571</v>
      </c>
      <c r="BU145" s="30">
        <v>5063.3588571428572</v>
      </c>
      <c r="BV145" s="30"/>
      <c r="BW145" s="9">
        <f t="shared" si="61"/>
        <v>46.184208269108936</v>
      </c>
      <c r="BX145" s="9">
        <f t="shared" si="62"/>
        <v>44.727607904620491</v>
      </c>
      <c r="BY145" s="9">
        <f t="shared" si="63"/>
        <v>9.0881838262705763</v>
      </c>
      <c r="BZ145" s="9">
        <f t="shared" si="64"/>
        <v>99.64058434066655</v>
      </c>
      <c r="CA145" s="9">
        <f t="shared" si="65"/>
        <v>0.10341255894194955</v>
      </c>
      <c r="CB145" s="9">
        <f t="shared" si="66"/>
        <v>0.25600310039149693</v>
      </c>
      <c r="CC145" s="9"/>
      <c r="CD145" s="111">
        <v>7.7</v>
      </c>
      <c r="CE145" s="112">
        <v>9.1999999999999993</v>
      </c>
      <c r="CF145" s="113">
        <v>1</v>
      </c>
      <c r="CG145" s="30"/>
      <c r="CH145" s="8">
        <v>94.47</v>
      </c>
      <c r="CI145" s="10">
        <v>1.4750000000000001</v>
      </c>
      <c r="CJ145" s="31">
        <v>2.001E-2</v>
      </c>
      <c r="CK145" s="64">
        <v>5.0520000000000003E-4</v>
      </c>
      <c r="CL145" s="8"/>
      <c r="CM145" s="8">
        <v>0.1014</v>
      </c>
      <c r="CN145" s="8"/>
      <c r="CO145" s="8">
        <v>3.91</v>
      </c>
      <c r="CP145" s="10">
        <f t="shared" si="67"/>
        <v>99.976915199999993</v>
      </c>
      <c r="CQ145" s="30"/>
      <c r="CR145" s="9"/>
      <c r="CS145" s="63">
        <v>-39.200000000000003</v>
      </c>
      <c r="CT145" s="63">
        <v>-15.2</v>
      </c>
      <c r="CU145" s="9"/>
      <c r="CV145" s="9"/>
    </row>
    <row r="146" spans="1:100" x14ac:dyDescent="0.4">
      <c r="A146" s="26">
        <v>39</v>
      </c>
      <c r="B146" s="40" t="s">
        <v>329</v>
      </c>
      <c r="C146" s="71" t="s">
        <v>330</v>
      </c>
      <c r="D146" s="120" t="s">
        <v>467</v>
      </c>
      <c r="E146" s="76">
        <v>45.312331</v>
      </c>
      <c r="F146" s="42">
        <v>36.185414999999999</v>
      </c>
      <c r="G146" s="46">
        <v>69.879631000000003</v>
      </c>
      <c r="H146" s="41">
        <v>42211</v>
      </c>
      <c r="I146" s="9">
        <f t="shared" si="58"/>
        <v>9.4332918116315962</v>
      </c>
      <c r="J146" s="8">
        <v>26.8</v>
      </c>
      <c r="K146" s="68">
        <f t="shared" si="59"/>
        <v>93.864971352821897</v>
      </c>
      <c r="L146" s="8">
        <v>215</v>
      </c>
      <c r="M146" s="10">
        <v>7.63</v>
      </c>
      <c r="N146" s="10">
        <v>1</v>
      </c>
      <c r="O146" s="29">
        <v>4514</v>
      </c>
      <c r="P146" s="30">
        <v>1872</v>
      </c>
      <c r="Q146" s="30">
        <f t="shared" si="60"/>
        <v>141.29867065240623</v>
      </c>
      <c r="R146" s="30">
        <v>2612155.5621025357</v>
      </c>
      <c r="S146" s="30">
        <v>361365.23776492639</v>
      </c>
      <c r="T146" s="30">
        <v>2594772.9169460703</v>
      </c>
      <c r="U146" s="30">
        <v>77181.214904794324</v>
      </c>
      <c r="V146" s="30">
        <v>132.04032905269011</v>
      </c>
      <c r="W146" s="30">
        <v>12113.131464644557</v>
      </c>
      <c r="X146" s="30"/>
      <c r="Y146" s="30">
        <v>47099.556884135411</v>
      </c>
      <c r="Z146" s="30">
        <v>110948.52577716761</v>
      </c>
      <c r="AA146" s="30">
        <v>123090.48335115715</v>
      </c>
      <c r="AB146" s="9">
        <v>3.9804149329283103</v>
      </c>
      <c r="AC146" s="30"/>
      <c r="AD146" s="9">
        <v>22.629131783068072</v>
      </c>
      <c r="AE146" s="30">
        <v>108.49379347330978</v>
      </c>
      <c r="AF146" s="30"/>
      <c r="AG146" s="30"/>
      <c r="AH146" s="30"/>
      <c r="AI146" s="30"/>
      <c r="AJ146" s="30">
        <v>255.96116408545888</v>
      </c>
      <c r="AK146" s="9"/>
      <c r="AL146" s="30">
        <v>11124.881216344631</v>
      </c>
      <c r="AM146" s="30">
        <v>1534.7249837221361</v>
      </c>
      <c r="AN146" s="30">
        <v>575.21724868309366</v>
      </c>
      <c r="AO146" s="10">
        <f>1000*0.332421544866779</f>
        <v>332.42154486677902</v>
      </c>
      <c r="AP146" s="9">
        <v>1224.2903134535804</v>
      </c>
      <c r="AQ146" s="9"/>
      <c r="AR146" s="10">
        <v>546.58587875105547</v>
      </c>
      <c r="AS146" s="9"/>
      <c r="AT146" s="9"/>
      <c r="AU146" s="9">
        <v>1895.9860518210487</v>
      </c>
      <c r="AV146" s="31"/>
      <c r="AW146" s="30">
        <f>1000*302.43387379769</f>
        <v>302433.87379769003</v>
      </c>
      <c r="AX146" s="30">
        <v>15433.135289277419</v>
      </c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9"/>
      <c r="BS146" s="10"/>
      <c r="BT146" s="10"/>
      <c r="BU146" s="10"/>
      <c r="BV146" s="10"/>
      <c r="BW146" s="9">
        <f t="shared" si="61"/>
        <v>57.065249869784928</v>
      </c>
      <c r="BX146" s="9">
        <f t="shared" si="62"/>
        <v>40.66469271269029</v>
      </c>
      <c r="BY146" s="9">
        <f t="shared" si="63"/>
        <v>2.2700574175247774</v>
      </c>
      <c r="BZ146" s="9">
        <f t="shared" si="64"/>
        <v>90.030987905724388</v>
      </c>
      <c r="CA146" s="9">
        <f t="shared" si="65"/>
        <v>4.9017059565375076</v>
      </c>
      <c r="CB146" s="9">
        <f t="shared" si="66"/>
        <v>5.0673061377381012</v>
      </c>
      <c r="CC146" s="9"/>
      <c r="CD146" s="8">
        <v>8.4</v>
      </c>
      <c r="CE146" s="9">
        <v>9.1999999999999993</v>
      </c>
      <c r="CF146" s="132">
        <v>-38</v>
      </c>
      <c r="CG146" s="10"/>
      <c r="CH146" s="10">
        <v>72.81</v>
      </c>
      <c r="CI146" s="27">
        <v>25.55</v>
      </c>
      <c r="CJ146" s="27"/>
      <c r="CK146" s="27"/>
      <c r="CL146" s="27"/>
      <c r="CM146" s="27"/>
      <c r="CN146" s="27">
        <v>2.8000000000000001E-2</v>
      </c>
      <c r="CO146" s="27">
        <v>1.32</v>
      </c>
      <c r="CP146" s="10">
        <f t="shared" si="67"/>
        <v>99.707999999999998</v>
      </c>
      <c r="CQ146" s="10"/>
      <c r="CR146" s="128"/>
      <c r="CS146" s="128">
        <v>-54.7</v>
      </c>
      <c r="CT146" s="128">
        <v>-5</v>
      </c>
      <c r="CU146" s="137"/>
      <c r="CV146" s="137"/>
    </row>
    <row r="147" spans="1:100" x14ac:dyDescent="0.4">
      <c r="A147" s="26">
        <v>40</v>
      </c>
      <c r="B147" s="40" t="s">
        <v>331</v>
      </c>
      <c r="C147" s="71" t="s">
        <v>332</v>
      </c>
      <c r="D147" s="122" t="s">
        <v>468</v>
      </c>
      <c r="E147" s="76">
        <v>45.266848000000003</v>
      </c>
      <c r="F147" s="42">
        <v>35.784911000000001</v>
      </c>
      <c r="G147" s="46">
        <v>24.663767</v>
      </c>
      <c r="H147" s="41">
        <v>42208</v>
      </c>
      <c r="I147" s="9">
        <f t="shared" si="58"/>
        <v>35.440697915870622</v>
      </c>
      <c r="J147" s="8">
        <v>14.8</v>
      </c>
      <c r="K147" s="68">
        <f t="shared" si="59"/>
        <v>148.51661161345106</v>
      </c>
      <c r="L147" s="8">
        <v>150</v>
      </c>
      <c r="M147" s="10">
        <v>7.7</v>
      </c>
      <c r="N147" s="10" t="s">
        <v>333</v>
      </c>
      <c r="O147" s="29">
        <v>2684</v>
      </c>
      <c r="P147" s="30">
        <v>21205</v>
      </c>
      <c r="Q147" s="30">
        <f t="shared" si="60"/>
        <v>23.113846929659207</v>
      </c>
      <c r="R147" s="30">
        <v>24437128.822006531</v>
      </c>
      <c r="S147" s="30">
        <v>980568.95889347512</v>
      </c>
      <c r="T147" s="30">
        <v>10928236.427831344</v>
      </c>
      <c r="U147" s="30">
        <v>188190.47025149313</v>
      </c>
      <c r="V147" s="30">
        <v>1004.9285660507903</v>
      </c>
      <c r="W147" s="30">
        <v>14717.685249086218</v>
      </c>
      <c r="X147" s="30"/>
      <c r="Y147" s="30">
        <v>7704.6156432197367</v>
      </c>
      <c r="Z147" s="30">
        <v>213954.2479138372</v>
      </c>
      <c r="AA147" s="30">
        <v>198202.92294429161</v>
      </c>
      <c r="AB147" s="30"/>
      <c r="AC147" s="30"/>
      <c r="AD147" s="9">
        <v>39.709670625212645</v>
      </c>
      <c r="AE147" s="30">
        <v>412.00174736699921</v>
      </c>
      <c r="AF147" s="30"/>
      <c r="AG147" s="30"/>
      <c r="AH147" s="30"/>
      <c r="AI147" s="30"/>
      <c r="AJ147" s="9">
        <v>88.482876260528016</v>
      </c>
      <c r="AK147" s="9"/>
      <c r="AL147" s="30">
        <v>40805.042575006766</v>
      </c>
      <c r="AM147" s="30">
        <v>26890.419289253343</v>
      </c>
      <c r="AN147" s="30">
        <v>12293.589281069932</v>
      </c>
      <c r="AO147" s="9"/>
      <c r="AP147" s="9">
        <v>11578.116284506123</v>
      </c>
      <c r="AQ147" s="9"/>
      <c r="AR147" s="10"/>
      <c r="AS147" s="9"/>
      <c r="AT147" s="9"/>
      <c r="AU147" s="9">
        <v>3752.8082454406517</v>
      </c>
      <c r="AV147" s="31"/>
      <c r="AW147" s="30">
        <f>1000*299.782255976864</f>
        <v>299782.25597686402</v>
      </c>
      <c r="AX147" s="30">
        <v>37532.20556240515</v>
      </c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9"/>
      <c r="BS147" s="10"/>
      <c r="BT147" s="10"/>
      <c r="BU147" s="10">
        <v>256.70431933222392</v>
      </c>
      <c r="BV147" s="10"/>
      <c r="BW147" s="9">
        <f t="shared" si="61"/>
        <v>6.855659732495786</v>
      </c>
      <c r="BX147" s="9">
        <f t="shared" si="62"/>
        <v>93.069311541340056</v>
      </c>
      <c r="BY147" s="9">
        <f t="shared" si="63"/>
        <v>7.5028726164174248E-2</v>
      </c>
      <c r="BZ147" s="9">
        <f t="shared" si="64"/>
        <v>94.930623309751624</v>
      </c>
      <c r="CA147" s="9">
        <f t="shared" si="65"/>
        <v>1.9760431501084488</v>
      </c>
      <c r="CB147" s="9">
        <f t="shared" si="66"/>
        <v>3.0933335401399327</v>
      </c>
      <c r="CC147" s="9"/>
      <c r="CD147" s="8">
        <v>33.200000000000003</v>
      </c>
      <c r="CE147" s="9">
        <v>13.8</v>
      </c>
      <c r="CF147" s="132">
        <v>-4</v>
      </c>
      <c r="CG147" s="10"/>
      <c r="CH147" s="10">
        <v>33.299999999999997</v>
      </c>
      <c r="CI147" s="27">
        <v>64.5</v>
      </c>
      <c r="CJ147" s="27"/>
      <c r="CK147" s="27"/>
      <c r="CL147" s="27"/>
      <c r="CM147" s="27"/>
      <c r="CN147" s="27">
        <v>1.7000000000000001E-2</v>
      </c>
      <c r="CO147" s="27">
        <v>1.01</v>
      </c>
      <c r="CP147" s="10">
        <f t="shared" si="67"/>
        <v>98.826999999999998</v>
      </c>
      <c r="CQ147" s="10"/>
      <c r="CR147" s="128"/>
      <c r="CS147" s="128">
        <v>-43.5</v>
      </c>
      <c r="CT147" s="128">
        <v>13.8</v>
      </c>
      <c r="CU147" s="137"/>
      <c r="CV147" s="137"/>
    </row>
    <row r="148" spans="1:100" x14ac:dyDescent="0.4">
      <c r="A148" s="26">
        <v>40</v>
      </c>
      <c r="B148" s="44" t="s">
        <v>334</v>
      </c>
      <c r="C148" s="71" t="s">
        <v>332</v>
      </c>
      <c r="D148" s="122" t="s">
        <v>468</v>
      </c>
      <c r="E148" s="76">
        <v>45.266804</v>
      </c>
      <c r="F148" s="42">
        <v>35.784866000000001</v>
      </c>
      <c r="G148" s="46">
        <v>24.663767</v>
      </c>
      <c r="H148" s="41">
        <v>42984</v>
      </c>
      <c r="I148" s="9">
        <f t="shared" si="58"/>
        <v>42.555894341885647</v>
      </c>
      <c r="J148" s="8">
        <v>22.7</v>
      </c>
      <c r="K148" s="68">
        <f t="shared" si="59"/>
        <v>157.45176193477664</v>
      </c>
      <c r="L148" s="8">
        <v>275</v>
      </c>
      <c r="M148" s="8">
        <v>8.1</v>
      </c>
      <c r="N148" s="8"/>
      <c r="O148" s="29">
        <v>2928</v>
      </c>
      <c r="P148" s="30">
        <v>21985</v>
      </c>
      <c r="Q148" s="30"/>
      <c r="R148" s="30">
        <v>35834064.394426703</v>
      </c>
      <c r="S148" s="30">
        <v>1105189.3065021101</v>
      </c>
      <c r="T148" s="30">
        <v>16949464.525486618</v>
      </c>
      <c r="U148" s="30">
        <v>245703.38660382773</v>
      </c>
      <c r="V148" s="30">
        <v>160.44805000000005</v>
      </c>
      <c r="W148" s="30">
        <v>14385.721134986707</v>
      </c>
      <c r="X148" s="30"/>
      <c r="Y148" s="30"/>
      <c r="Z148" s="30">
        <v>259984.06372538005</v>
      </c>
      <c r="AA148" s="30">
        <v>187742.3660698267</v>
      </c>
      <c r="AB148" s="30"/>
      <c r="AC148" s="30"/>
      <c r="AD148" s="30">
        <v>25.009599999999999</v>
      </c>
      <c r="AE148" s="30"/>
      <c r="AF148" s="30"/>
      <c r="AG148" s="30"/>
      <c r="AH148" s="30">
        <v>64.0685</v>
      </c>
      <c r="AI148" s="30">
        <v>104.95000000000002</v>
      </c>
      <c r="AJ148" s="30">
        <v>90.472499999999997</v>
      </c>
      <c r="AK148" s="30"/>
      <c r="AL148" s="30">
        <v>50923.265277777769</v>
      </c>
      <c r="AM148" s="30">
        <v>30331.725555995519</v>
      </c>
      <c r="AN148" s="30">
        <v>12127.797566371682</v>
      </c>
      <c r="AO148" s="30"/>
      <c r="AP148" s="30">
        <v>3533.77</v>
      </c>
      <c r="AQ148" s="30"/>
      <c r="AR148" s="30">
        <v>2934.4495833333335</v>
      </c>
      <c r="AS148" s="30"/>
      <c r="AT148" s="30"/>
      <c r="AU148" s="30">
        <v>2601.875</v>
      </c>
      <c r="AV148" s="30"/>
      <c r="AW148" s="30">
        <v>311974.45500000002</v>
      </c>
      <c r="AX148" s="30">
        <v>31500.739999999998</v>
      </c>
      <c r="AY148" s="30" t="e">
        <v>#VALUE!</v>
      </c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>
        <v>2.6799999999999993</v>
      </c>
      <c r="BS148" s="30"/>
      <c r="BT148" s="30"/>
      <c r="BU148" s="30">
        <v>88.440650000000005</v>
      </c>
      <c r="BV148" s="30"/>
      <c r="BW148" s="9">
        <f t="shared" si="61"/>
        <v>7.1932120393431553</v>
      </c>
      <c r="BX148" s="9">
        <f t="shared" si="62"/>
        <v>92.806787960656848</v>
      </c>
      <c r="BY148" s="9">
        <f t="shared" si="63"/>
        <v>0</v>
      </c>
      <c r="BZ148" s="9">
        <f t="shared" si="64"/>
        <v>96.1406452754008</v>
      </c>
      <c r="CA148" s="9">
        <f t="shared" si="65"/>
        <v>1.2222033113741286</v>
      </c>
      <c r="CB148" s="9">
        <f t="shared" si="66"/>
        <v>2.6371514132250664</v>
      </c>
      <c r="CC148" s="9"/>
      <c r="CD148" s="8"/>
      <c r="CE148" s="9"/>
      <c r="CF148" s="30"/>
      <c r="CG148" s="30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9"/>
      <c r="CS148" s="9"/>
      <c r="CT148" s="9"/>
      <c r="CU148" s="9"/>
      <c r="CV148" s="9"/>
    </row>
    <row r="149" spans="1:100" x14ac:dyDescent="0.4">
      <c r="A149" s="26">
        <v>40</v>
      </c>
      <c r="B149" s="40" t="s">
        <v>335</v>
      </c>
      <c r="C149" s="71" t="s">
        <v>332</v>
      </c>
      <c r="D149" s="122" t="s">
        <v>468</v>
      </c>
      <c r="E149" s="76">
        <v>45.266849999999998</v>
      </c>
      <c r="F149" s="42">
        <v>35.784903</v>
      </c>
      <c r="G149" s="30">
        <v>23.148693000000002</v>
      </c>
      <c r="H149" s="41">
        <v>44029</v>
      </c>
      <c r="I149" s="9">
        <f t="shared" si="58"/>
        <v>21.192903431410308</v>
      </c>
      <c r="J149" s="8"/>
      <c r="K149" s="68">
        <f t="shared" si="59"/>
        <v>132.21019443651477</v>
      </c>
      <c r="L149" s="8">
        <v>195</v>
      </c>
      <c r="M149" s="8">
        <v>6.29</v>
      </c>
      <c r="N149" s="109" t="s">
        <v>66</v>
      </c>
      <c r="O149" s="110">
        <v>1504.6666666666667</v>
      </c>
      <c r="P149" s="30">
        <v>11291</v>
      </c>
      <c r="Q149" s="30"/>
      <c r="R149" s="30">
        <v>12111544.256280454</v>
      </c>
      <c r="S149" s="30">
        <v>546813.30452813604</v>
      </c>
      <c r="T149" s="30">
        <v>7726107.5147249904</v>
      </c>
      <c r="U149" s="30">
        <v>121607.67720800098</v>
      </c>
      <c r="V149" s="30">
        <v>116.20571428571429</v>
      </c>
      <c r="W149" s="30">
        <v>5246.6465033592694</v>
      </c>
      <c r="X149" s="30"/>
      <c r="Y149" s="30"/>
      <c r="Z149" s="30">
        <v>126125.21947131777</v>
      </c>
      <c r="AA149" s="30">
        <v>423396.35333933047</v>
      </c>
      <c r="AB149" s="9"/>
      <c r="AC149" s="9"/>
      <c r="AD149" s="9">
        <v>169.27428571428572</v>
      </c>
      <c r="AE149" s="30"/>
      <c r="AF149" s="9"/>
      <c r="AG149" s="9"/>
      <c r="AH149" s="9"/>
      <c r="AI149" s="30">
        <v>118.42571428571429</v>
      </c>
      <c r="AJ149" s="9">
        <v>35.591428571428573</v>
      </c>
      <c r="AK149" s="9"/>
      <c r="AL149" s="30">
        <v>22666.105238095242</v>
      </c>
      <c r="AM149" s="30">
        <v>30879.136998014001</v>
      </c>
      <c r="AN149" s="30">
        <v>15500.646539129713</v>
      </c>
      <c r="AO149" s="30"/>
      <c r="AP149" s="30">
        <v>1161.3500000000001</v>
      </c>
      <c r="AQ149" s="30"/>
      <c r="AR149" s="30">
        <v>535.48500000000001</v>
      </c>
      <c r="AS149" s="30"/>
      <c r="AT149" s="30"/>
      <c r="AU149" s="30">
        <v>850.00000000000011</v>
      </c>
      <c r="AV149" s="30"/>
      <c r="AW149" s="30">
        <v>153770.0944</v>
      </c>
      <c r="AX149" s="30">
        <v>16991.228571428572</v>
      </c>
      <c r="AY149" s="30"/>
      <c r="AZ149" s="9">
        <v>50.691428571428574</v>
      </c>
      <c r="BA149" s="9"/>
      <c r="BB149" s="9"/>
      <c r="BC149" s="9">
        <v>35.825714285714284</v>
      </c>
      <c r="BD149" s="9"/>
      <c r="BE149" s="9">
        <v>28.88</v>
      </c>
      <c r="BF149" s="9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9"/>
      <c r="BU149" s="9">
        <v>26.638857142857141</v>
      </c>
      <c r="BV149" s="9"/>
      <c r="BW149" s="9">
        <f t="shared" si="61"/>
        <v>7.1972602739726028</v>
      </c>
      <c r="BX149" s="9">
        <f t="shared" si="62"/>
        <v>92.802739726027397</v>
      </c>
      <c r="BY149" s="9">
        <f t="shared" si="63"/>
        <v>0</v>
      </c>
      <c r="BZ149" s="9">
        <f t="shared" si="64"/>
        <v>91.518238522465637</v>
      </c>
      <c r="CA149" s="9">
        <f t="shared" si="65"/>
        <v>5.7560444249174694</v>
      </c>
      <c r="CB149" s="9">
        <f t="shared" si="66"/>
        <v>2.7257170526168975</v>
      </c>
      <c r="CC149" s="9"/>
      <c r="CD149" s="111">
        <v>26</v>
      </c>
      <c r="CE149" s="112">
        <v>10.1</v>
      </c>
      <c r="CF149" s="113">
        <v>-15</v>
      </c>
      <c r="CG149" s="9"/>
      <c r="CH149" s="138">
        <v>38.67</v>
      </c>
      <c r="CI149" s="114">
        <v>60.43</v>
      </c>
      <c r="CJ149" s="139">
        <v>3.058E-3</v>
      </c>
      <c r="CK149" s="8"/>
      <c r="CL149" s="8"/>
      <c r="CM149" s="62">
        <v>0.18729999999999999</v>
      </c>
      <c r="CN149" s="8"/>
      <c r="CO149" s="138">
        <v>1.59</v>
      </c>
      <c r="CP149" s="10">
        <f>SUM(CH149:CO149)</f>
        <v>100.88035799999999</v>
      </c>
      <c r="CQ149" s="30"/>
      <c r="CR149" s="9">
        <v>-1.5549999999999999</v>
      </c>
      <c r="CS149" s="63">
        <v>-44.6</v>
      </c>
      <c r="CT149" s="63">
        <v>14.4</v>
      </c>
      <c r="CU149" s="9"/>
      <c r="CV149" s="9"/>
    </row>
    <row r="150" spans="1:100" x14ac:dyDescent="0.4">
      <c r="A150" s="26">
        <v>41</v>
      </c>
      <c r="B150" s="40" t="s">
        <v>336</v>
      </c>
      <c r="C150" s="71" t="s">
        <v>337</v>
      </c>
      <c r="D150" s="122" t="s">
        <v>469</v>
      </c>
      <c r="E150" s="76">
        <v>45.290809000000003</v>
      </c>
      <c r="F150" s="42">
        <v>35.681820999999999</v>
      </c>
      <c r="G150" s="46">
        <v>31.066693999999998</v>
      </c>
      <c r="H150" s="41">
        <v>42208</v>
      </c>
      <c r="I150" s="9">
        <f t="shared" si="58"/>
        <v>15.266952777424857</v>
      </c>
      <c r="J150" s="8">
        <v>23.9</v>
      </c>
      <c r="K150" s="68">
        <f t="shared" si="59"/>
        <v>70.022000769368447</v>
      </c>
      <c r="L150" s="8">
        <v>59</v>
      </c>
      <c r="M150" s="10">
        <v>7.65</v>
      </c>
      <c r="N150" s="10">
        <v>0.2</v>
      </c>
      <c r="O150" s="29">
        <v>2562</v>
      </c>
      <c r="P150" s="30">
        <v>7446</v>
      </c>
      <c r="Q150" s="30">
        <f>Y150/32*96/1000</f>
        <v>31.841953949838032</v>
      </c>
      <c r="R150" s="30">
        <v>958448.83998837869</v>
      </c>
      <c r="S150" s="30">
        <v>14338.050962523312</v>
      </c>
      <c r="T150" s="30">
        <v>5056785.4244736237</v>
      </c>
      <c r="U150" s="30">
        <v>70844.060938945608</v>
      </c>
      <c r="V150" s="30">
        <v>165.32966164870777</v>
      </c>
      <c r="W150" s="30">
        <v>4813.0255859724466</v>
      </c>
      <c r="X150" s="30"/>
      <c r="Y150" s="30">
        <v>10613.984649946011</v>
      </c>
      <c r="Z150" s="30">
        <v>31684.429394320676</v>
      </c>
      <c r="AA150" s="30">
        <v>67796.908668128002</v>
      </c>
      <c r="AB150" s="30"/>
      <c r="AC150" s="30"/>
      <c r="AD150" s="9">
        <v>33.847131963632428</v>
      </c>
      <c r="AE150" s="30">
        <v>1546.1349867661265</v>
      </c>
      <c r="AF150" s="30"/>
      <c r="AG150" s="30"/>
      <c r="AH150" s="30"/>
      <c r="AI150" s="30"/>
      <c r="AJ150" s="9"/>
      <c r="AK150" s="9">
        <v>12.433062176254353</v>
      </c>
      <c r="AL150" s="30">
        <v>79716.069967650241</v>
      </c>
      <c r="AM150" s="30">
        <v>2133.6472209496592</v>
      </c>
      <c r="AN150" s="30">
        <v>913.99639676193715</v>
      </c>
      <c r="AO150" s="10">
        <f>1000*0.15486632607991</f>
        <v>154.86632607990998</v>
      </c>
      <c r="AP150" s="9">
        <v>4973.6662065224336</v>
      </c>
      <c r="AQ150" s="9"/>
      <c r="AR150" s="9">
        <v>5212.9368429989345</v>
      </c>
      <c r="AS150" s="9"/>
      <c r="AT150" s="9"/>
      <c r="AU150" s="9">
        <v>1554.9427190260819</v>
      </c>
      <c r="AV150" s="10">
        <v>362.61056141271627</v>
      </c>
      <c r="AW150" s="30">
        <f>1000*7.4322550316441</f>
        <v>7432.2550316441002</v>
      </c>
      <c r="AX150" s="30">
        <v>463.2585509637301</v>
      </c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31">
        <f>1000*0.0291772147013877</f>
        <v>29.177214701387701</v>
      </c>
      <c r="BR150" s="9"/>
      <c r="BS150" s="10"/>
      <c r="BT150" s="10"/>
      <c r="BU150" s="10">
        <v>727.53111553460883</v>
      </c>
      <c r="BV150" s="10"/>
      <c r="BW150" s="9">
        <f t="shared" si="61"/>
        <v>16.639604007191107</v>
      </c>
      <c r="BX150" s="9">
        <f t="shared" si="62"/>
        <v>83.097579770318561</v>
      </c>
      <c r="BY150" s="9">
        <f t="shared" si="63"/>
        <v>0.26281622249033709</v>
      </c>
      <c r="BZ150" s="9">
        <f t="shared" si="64"/>
        <v>95.978784141267042</v>
      </c>
      <c r="CA150" s="9">
        <f t="shared" si="65"/>
        <v>1.4768647645802495</v>
      </c>
      <c r="CB150" s="9">
        <f t="shared" si="66"/>
        <v>2.5443510941527143</v>
      </c>
      <c r="CC150" s="9"/>
      <c r="CD150" s="8">
        <v>27.8</v>
      </c>
      <c r="CE150" s="9">
        <v>0.8</v>
      </c>
      <c r="CF150" s="132">
        <v>-25</v>
      </c>
      <c r="CG150" s="10"/>
      <c r="CH150" s="10">
        <v>89.6</v>
      </c>
      <c r="CI150" s="27">
        <v>5.63</v>
      </c>
      <c r="CJ150" s="27"/>
      <c r="CK150" s="27">
        <v>5.5999999999999995E-4</v>
      </c>
      <c r="CL150" s="27"/>
      <c r="CM150" s="27"/>
      <c r="CN150" s="27">
        <v>4.5999999999999999E-2</v>
      </c>
      <c r="CO150" s="27">
        <v>0.71499999999999997</v>
      </c>
      <c r="CP150" s="10">
        <f>SUM(CH150:CO150)</f>
        <v>95.991559999999993</v>
      </c>
      <c r="CQ150" s="10"/>
      <c r="CR150" s="9">
        <v>-2.3130000000000002</v>
      </c>
      <c r="CS150" s="128">
        <v>-53.4</v>
      </c>
      <c r="CT150" s="128">
        <v>-11.1</v>
      </c>
      <c r="CU150" s="137">
        <v>-31.6</v>
      </c>
      <c r="CV150" s="137"/>
    </row>
    <row r="151" spans="1:100" x14ac:dyDescent="0.4">
      <c r="A151" s="26">
        <v>41</v>
      </c>
      <c r="B151" s="44" t="s">
        <v>338</v>
      </c>
      <c r="C151" s="71" t="s">
        <v>337</v>
      </c>
      <c r="D151" s="122" t="s">
        <v>469</v>
      </c>
      <c r="E151" s="76">
        <v>45.290869999999998</v>
      </c>
      <c r="F151" s="42">
        <v>35.681930000000001</v>
      </c>
      <c r="G151" s="30">
        <v>24</v>
      </c>
      <c r="H151" s="41">
        <v>42208</v>
      </c>
      <c r="I151" s="9"/>
      <c r="J151" s="8"/>
      <c r="K151" s="68"/>
      <c r="L151" s="8"/>
      <c r="M151" s="8"/>
      <c r="N151" s="8"/>
      <c r="O151" s="29"/>
      <c r="P151" s="30"/>
      <c r="Q151" s="30"/>
      <c r="R151" s="30"/>
      <c r="S151" s="9"/>
      <c r="T151" s="30"/>
      <c r="U151" s="30"/>
      <c r="V151" s="10"/>
      <c r="W151" s="9"/>
      <c r="X151" s="9"/>
      <c r="Y151" s="9"/>
      <c r="Z151" s="30"/>
      <c r="AA151" s="9"/>
      <c r="AB151" s="10"/>
      <c r="AC151" s="10"/>
      <c r="AD151" s="31"/>
      <c r="AE151" s="9"/>
      <c r="AF151" s="10"/>
      <c r="AG151" s="10"/>
      <c r="AH151" s="10"/>
      <c r="AI151" s="9"/>
      <c r="AJ151" s="10"/>
      <c r="AK151" s="10"/>
      <c r="AL151" s="30"/>
      <c r="AM151" s="9"/>
      <c r="AN151" s="10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10"/>
      <c r="BB151" s="10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31"/>
      <c r="BS151" s="9"/>
      <c r="BT151" s="9"/>
      <c r="BU151" s="10"/>
      <c r="BV151" s="10"/>
      <c r="BW151" s="9"/>
      <c r="BX151" s="9"/>
      <c r="BY151" s="9"/>
      <c r="BZ151" s="9"/>
      <c r="CA151" s="9"/>
      <c r="CB151" s="9"/>
      <c r="CC151" s="9"/>
      <c r="CD151" s="8"/>
      <c r="CE151" s="9"/>
      <c r="CF151" s="30"/>
      <c r="CG151" s="10"/>
      <c r="CH151" s="10">
        <v>83.984999999999999</v>
      </c>
      <c r="CI151" s="10">
        <v>7.2058</v>
      </c>
      <c r="CJ151" s="32"/>
      <c r="CK151" s="32">
        <v>2.5443000000000002E-3</v>
      </c>
      <c r="CL151" s="32"/>
      <c r="CM151" s="32"/>
      <c r="CN151" s="31">
        <v>4.3787E-2</v>
      </c>
      <c r="CO151" s="10">
        <v>0.78378000000000003</v>
      </c>
      <c r="CP151" s="10">
        <f>SUM(CH151:CO151)</f>
        <v>92.02091129999998</v>
      </c>
      <c r="CQ151" s="25"/>
      <c r="CR151" s="9"/>
      <c r="CS151" s="128">
        <v>-52.2</v>
      </c>
      <c r="CT151" s="112">
        <v>-13.5</v>
      </c>
      <c r="CU151" s="9"/>
      <c r="CV151" s="9"/>
    </row>
    <row r="152" spans="1:100" x14ac:dyDescent="0.4">
      <c r="A152" s="26">
        <v>41</v>
      </c>
      <c r="B152" s="40" t="s">
        <v>339</v>
      </c>
      <c r="C152" s="71" t="s">
        <v>337</v>
      </c>
      <c r="D152" s="122" t="s">
        <v>470</v>
      </c>
      <c r="E152" s="76">
        <v>45.290768999999997</v>
      </c>
      <c r="F152" s="42">
        <v>35.681645000000003</v>
      </c>
      <c r="G152" s="30">
        <v>27.731536999999999</v>
      </c>
      <c r="H152" s="41">
        <v>44029</v>
      </c>
      <c r="I152" s="9">
        <f t="shared" ref="I152:I157" si="68">(O152+P152+Z152/1000+AA152/1000+T152/1000+U152/1000+Y152/1000/32*96)/1000</f>
        <v>16.416262547669465</v>
      </c>
      <c r="J152" s="8"/>
      <c r="K152" s="68">
        <f>2200/(LOG(((U152/1000)^0.5)/(R152/1000000))+5.47)-273</f>
        <v>69.802468928269093</v>
      </c>
      <c r="L152" s="8"/>
      <c r="M152" s="8"/>
      <c r="N152" s="109" t="s">
        <v>66</v>
      </c>
      <c r="O152" s="110">
        <v>2648.4166666666665</v>
      </c>
      <c r="P152" s="30">
        <v>7227</v>
      </c>
      <c r="Q152" s="30">
        <f>Y152/32*96/1000</f>
        <v>12.258588009220654</v>
      </c>
      <c r="R152" s="30">
        <v>979414.77299600025</v>
      </c>
      <c r="S152" s="30">
        <v>17089.561024301103</v>
      </c>
      <c r="T152" s="30">
        <v>6362348.0831223866</v>
      </c>
      <c r="U152" s="30">
        <v>75389.946666804419</v>
      </c>
      <c r="V152" s="9">
        <v>49.405714285714275</v>
      </c>
      <c r="W152" s="30">
        <v>7058.9430425045612</v>
      </c>
      <c r="X152" s="30">
        <v>1179.9126723860622</v>
      </c>
      <c r="Y152" s="30">
        <v>4086.1960030735513</v>
      </c>
      <c r="Z152" s="30">
        <v>27735.607558525036</v>
      </c>
      <c r="AA152" s="30">
        <v>63113.655645866384</v>
      </c>
      <c r="AB152" s="9">
        <v>19.76516285058554</v>
      </c>
      <c r="AC152" s="9"/>
      <c r="AD152" s="9">
        <v>29.394285714285715</v>
      </c>
      <c r="AE152" s="30">
        <v>3933.660497004596</v>
      </c>
      <c r="AF152" s="9"/>
      <c r="AG152" s="9"/>
      <c r="AH152" s="9"/>
      <c r="AI152" s="30">
        <v>147.3857142857143</v>
      </c>
      <c r="AJ152" s="9"/>
      <c r="AK152" s="9">
        <v>13.818099129870127</v>
      </c>
      <c r="AL152" s="30">
        <v>81764.105238095231</v>
      </c>
      <c r="AM152" s="30">
        <v>2545.2989281044547</v>
      </c>
      <c r="AN152" s="30">
        <v>800.107142857143</v>
      </c>
      <c r="AO152" s="30"/>
      <c r="AP152" s="30">
        <v>2433.9454545454546</v>
      </c>
      <c r="AQ152" s="30"/>
      <c r="AR152" s="30">
        <v>2592.6850000000004</v>
      </c>
      <c r="AS152" s="30"/>
      <c r="AT152" s="30"/>
      <c r="AU152" s="30"/>
      <c r="AV152" s="30">
        <v>167.91428571428571</v>
      </c>
      <c r="AW152" s="30">
        <v>6497.7744000000002</v>
      </c>
      <c r="AX152" s="30">
        <v>240.18857142857144</v>
      </c>
      <c r="AY152" s="9">
        <v>96.991224489795925</v>
      </c>
      <c r="AZ152" s="30">
        <v>113.97142857142856</v>
      </c>
      <c r="BA152" s="9"/>
      <c r="BB152" s="9">
        <v>80.36</v>
      </c>
      <c r="BC152" s="30"/>
      <c r="BD152" s="30"/>
      <c r="BE152" s="30">
        <v>40.880000000000003</v>
      </c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9">
        <v>38.034285714285716</v>
      </c>
      <c r="BU152" s="30">
        <v>150.69005714285714</v>
      </c>
      <c r="BV152" s="30"/>
      <c r="BW152" s="9">
        <f t="shared" ref="BW152:BW157" si="69">O152/61/(O152/61+P152/35.5+Q152/96*2)*100</f>
        <v>17.559858920641396</v>
      </c>
      <c r="BX152" s="9">
        <f t="shared" ref="BX152:BX157" si="70">P152/35.5/(O152/61+P152/35.5+Q152/96*2)*100</f>
        <v>82.336849776091725</v>
      </c>
      <c r="BY152" s="9">
        <f t="shared" ref="BY152:BY157" si="71">Q152/96*2/(O152/61+P152/35.5+Q152/96*2)*100</f>
        <v>0.10329130326688146</v>
      </c>
      <c r="BZ152" s="9">
        <f t="shared" ref="BZ152:BZ157" si="72">T152/23/(T152/23+U152/24.31*2+AA152/40.08*2)*100</f>
        <v>96.729872886472691</v>
      </c>
      <c r="CA152" s="9">
        <f t="shared" ref="CA152:CA157" si="73">AA152/40.08*2/(T152/23+U152/24.31*2+AA152/40.08*2)*100</f>
        <v>1.1012771954601071</v>
      </c>
      <c r="CB152" s="9">
        <f t="shared" ref="CB152:CB157" si="74">U152/24.31*2/(T152/23+U152/24.31*2+AA152/40.08*2)*100</f>
        <v>2.168849918067195</v>
      </c>
      <c r="CC152" s="9"/>
      <c r="CD152" s="111">
        <v>25.4</v>
      </c>
      <c r="CE152" s="112">
        <v>-0.4</v>
      </c>
      <c r="CF152" s="113">
        <v>-23</v>
      </c>
      <c r="CG152" s="30"/>
      <c r="CH152" s="62">
        <v>89.33</v>
      </c>
      <c r="CI152" s="114">
        <v>4.875</v>
      </c>
      <c r="CJ152" s="62">
        <v>2.5249999999999999E-3</v>
      </c>
      <c r="CK152" s="62">
        <v>1.299E-2</v>
      </c>
      <c r="CL152" s="62">
        <v>0.67090000000000005</v>
      </c>
      <c r="CM152" s="62">
        <v>3.3829999999999999E-2</v>
      </c>
      <c r="CN152" s="8"/>
      <c r="CO152" s="62">
        <v>2.1840000000000002</v>
      </c>
      <c r="CP152" s="8"/>
      <c r="CQ152" s="30"/>
      <c r="CR152" s="9"/>
      <c r="CS152" s="63">
        <v>-52.6</v>
      </c>
      <c r="CT152" s="63">
        <v>10.6</v>
      </c>
      <c r="CU152" s="63">
        <v>-32</v>
      </c>
      <c r="CV152" s="63"/>
    </row>
    <row r="153" spans="1:100" ht="12.75" customHeight="1" x14ac:dyDescent="0.4">
      <c r="A153" s="26">
        <v>42</v>
      </c>
      <c r="B153" s="40" t="s">
        <v>340</v>
      </c>
      <c r="C153" s="69" t="s">
        <v>341</v>
      </c>
      <c r="D153" s="122" t="s">
        <v>470</v>
      </c>
      <c r="E153" s="76">
        <v>45.182563999999999</v>
      </c>
      <c r="F153" s="42">
        <v>35.578068999999999</v>
      </c>
      <c r="G153" s="46">
        <v>38.46463</v>
      </c>
      <c r="H153" s="41">
        <v>42207</v>
      </c>
      <c r="I153" s="9">
        <f t="shared" si="68"/>
        <v>12.359466237917262</v>
      </c>
      <c r="J153" s="8">
        <v>19.600000000000001</v>
      </c>
      <c r="K153" s="68">
        <f>2200/(LOG(((U153/1000)^0.5)/(R153/1000000))+5.47)-273</f>
        <v>85.789032654602011</v>
      </c>
      <c r="L153" s="8">
        <v>146</v>
      </c>
      <c r="M153" s="10">
        <v>8.4</v>
      </c>
      <c r="N153" s="10">
        <v>0.3</v>
      </c>
      <c r="O153" s="29">
        <v>2440</v>
      </c>
      <c r="P153" s="30">
        <v>5886</v>
      </c>
      <c r="Q153" s="30">
        <f>Y153/32*96/1000</f>
        <v>14.181041634088579</v>
      </c>
      <c r="R153" s="30">
        <v>1320271.7503768501</v>
      </c>
      <c r="S153" s="30">
        <v>72844.957673421872</v>
      </c>
      <c r="T153" s="30">
        <v>3914342.2353488021</v>
      </c>
      <c r="U153" s="30">
        <v>36711.382160924339</v>
      </c>
      <c r="V153" s="30">
        <v>153.37205418161335</v>
      </c>
      <c r="W153" s="30">
        <v>2011.6044270633645</v>
      </c>
      <c r="X153" s="30"/>
      <c r="Y153" s="30">
        <v>4727.0138780295265</v>
      </c>
      <c r="Z153" s="30">
        <v>28983.149034952829</v>
      </c>
      <c r="AA153" s="30">
        <v>39248.429738495011</v>
      </c>
      <c r="AB153" s="30"/>
      <c r="AC153" s="30"/>
      <c r="AD153" s="9">
        <v>30.60393913222919</v>
      </c>
      <c r="AE153" s="30">
        <v>107.53245606278681</v>
      </c>
      <c r="AF153" s="30"/>
      <c r="AG153" s="30"/>
      <c r="AH153" s="30"/>
      <c r="AI153" s="30"/>
      <c r="AJ153" s="9"/>
      <c r="AK153" s="9">
        <v>22.820780156285647</v>
      </c>
      <c r="AL153" s="30">
        <v>49562.005192780336</v>
      </c>
      <c r="AM153" s="30">
        <v>1285.9184665354214</v>
      </c>
      <c r="AN153" s="30">
        <v>326.5727649808328</v>
      </c>
      <c r="AO153" s="10"/>
      <c r="AP153" s="9">
        <v>4060.9526611907372</v>
      </c>
      <c r="AQ153" s="9"/>
      <c r="AR153" s="9">
        <v>2073.3705413440744</v>
      </c>
      <c r="AS153" s="9"/>
      <c r="AT153" s="9"/>
      <c r="AU153" s="9">
        <v>2077.1760508301427</v>
      </c>
      <c r="AV153" s="10">
        <v>739.11847203858122</v>
      </c>
      <c r="AW153" s="30">
        <f>1000*6.11155545131113</f>
        <v>6111.5554513111301</v>
      </c>
      <c r="AX153" s="30">
        <v>53.536147942286171</v>
      </c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9"/>
      <c r="BS153" s="10"/>
      <c r="BT153" s="10"/>
      <c r="BU153" s="9">
        <v>1158.5185007279829</v>
      </c>
      <c r="BV153" s="9"/>
      <c r="BW153" s="9">
        <f t="shared" si="69"/>
        <v>19.408218642042147</v>
      </c>
      <c r="BX153" s="9">
        <f t="shared" si="70"/>
        <v>80.448433047225407</v>
      </c>
      <c r="BY153" s="9">
        <f t="shared" si="71"/>
        <v>0.14334831073244469</v>
      </c>
      <c r="BZ153" s="9">
        <f t="shared" si="72"/>
        <v>97.157707571659927</v>
      </c>
      <c r="CA153" s="9">
        <f t="shared" si="73"/>
        <v>1.1180748283805755</v>
      </c>
      <c r="CB153" s="9">
        <f t="shared" si="74"/>
        <v>1.7242175999594913</v>
      </c>
      <c r="CC153" s="9"/>
      <c r="CD153" s="8">
        <v>25.9</v>
      </c>
      <c r="CE153" s="9">
        <v>6.1</v>
      </c>
      <c r="CF153" s="132">
        <v>-22</v>
      </c>
      <c r="CG153" s="9"/>
      <c r="CH153" s="10">
        <v>92.78</v>
      </c>
      <c r="CI153" s="27">
        <v>6.19</v>
      </c>
      <c r="CJ153" s="27">
        <v>3.2000000000000002E-3</v>
      </c>
      <c r="CK153" s="27"/>
      <c r="CL153" s="27"/>
      <c r="CM153" s="27"/>
      <c r="CN153" s="27">
        <v>4.5999999999999999E-2</v>
      </c>
      <c r="CO153" s="27">
        <v>0.59</v>
      </c>
      <c r="CP153" s="10">
        <f t="shared" ref="CP153" si="75">SUM(CH153:CO153)</f>
        <v>99.609200000000016</v>
      </c>
      <c r="CQ153" s="10"/>
      <c r="CR153" s="9">
        <v>-2.14</v>
      </c>
      <c r="CS153" s="128">
        <v>-43</v>
      </c>
      <c r="CT153" s="128">
        <v>0.7</v>
      </c>
      <c r="CU153" s="137">
        <v>-26.9</v>
      </c>
      <c r="CV153" s="137"/>
    </row>
    <row r="154" spans="1:100" x14ac:dyDescent="0.4">
      <c r="A154" s="26">
        <v>42</v>
      </c>
      <c r="B154" s="40" t="s">
        <v>342</v>
      </c>
      <c r="C154" s="69" t="s">
        <v>341</v>
      </c>
      <c r="D154" s="122" t="s">
        <v>470</v>
      </c>
      <c r="E154" s="76">
        <v>45.182577000000002</v>
      </c>
      <c r="F154" s="42">
        <v>35.578149000000003</v>
      </c>
      <c r="G154" s="30">
        <v>33.696629000000001</v>
      </c>
      <c r="H154" s="41">
        <v>44029</v>
      </c>
      <c r="I154" s="9">
        <f t="shared" si="68"/>
        <v>16.575349920392327</v>
      </c>
      <c r="J154" s="8"/>
      <c r="K154" s="68">
        <f>2200/(LOG(((U154/1000)^0.5)/(R154/1000000))+5.47)-273</f>
        <v>89.804731989394611</v>
      </c>
      <c r="L154" s="8">
        <v>217</v>
      </c>
      <c r="M154" s="8">
        <v>8.82</v>
      </c>
      <c r="N154" s="109" t="s">
        <v>66</v>
      </c>
      <c r="O154" s="110">
        <v>2846.6666666666665</v>
      </c>
      <c r="P154" s="30">
        <v>7743</v>
      </c>
      <c r="Q154" s="30">
        <f>Y154/32*96/1000</f>
        <v>5.5719805625495606</v>
      </c>
      <c r="R154" s="30">
        <v>1614397.935608868</v>
      </c>
      <c r="S154" s="30">
        <v>117331.43780540919</v>
      </c>
      <c r="T154" s="30">
        <v>5899715.8275639806</v>
      </c>
      <c r="U154" s="30">
        <v>40156.621020347797</v>
      </c>
      <c r="V154" s="9"/>
      <c r="W154" s="30">
        <v>888.60157458499759</v>
      </c>
      <c r="X154" s="30">
        <v>1544.6082700812763</v>
      </c>
      <c r="Y154" s="30">
        <v>1857.3268541831872</v>
      </c>
      <c r="Z154" s="30">
        <v>26050.32032050108</v>
      </c>
      <c r="AA154" s="30">
        <v>14188.50425828179</v>
      </c>
      <c r="AB154" s="9"/>
      <c r="AC154" s="9"/>
      <c r="AD154" s="9">
        <v>6.7942857142857136</v>
      </c>
      <c r="AE154" s="30"/>
      <c r="AF154" s="9"/>
      <c r="AG154" s="9"/>
      <c r="AH154" s="9"/>
      <c r="AI154" s="30">
        <v>145.54571428571427</v>
      </c>
      <c r="AJ154" s="9"/>
      <c r="AK154" s="9">
        <v>28.950895948051951</v>
      </c>
      <c r="AL154" s="30">
        <v>67344.105238095231</v>
      </c>
      <c r="AM154" s="30">
        <v>1319.9714285714288</v>
      </c>
      <c r="AN154" s="30">
        <v>157.96714285714287</v>
      </c>
      <c r="AO154" s="30"/>
      <c r="AP154" s="30">
        <v>17401.75</v>
      </c>
      <c r="AQ154" s="30"/>
      <c r="AR154" s="30">
        <v>4798.085</v>
      </c>
      <c r="AS154" s="30"/>
      <c r="AT154" s="30"/>
      <c r="AU154" s="30"/>
      <c r="AV154" s="30">
        <v>428.48</v>
      </c>
      <c r="AW154" s="30">
        <v>4018.4144000000006</v>
      </c>
      <c r="AX154" s="30"/>
      <c r="AY154" s="9">
        <v>70.458081632653048</v>
      </c>
      <c r="AZ154" s="9">
        <v>38.491428571428571</v>
      </c>
      <c r="BA154" s="9"/>
      <c r="BB154" s="9">
        <v>57.528000000000006</v>
      </c>
      <c r="BC154" s="9">
        <v>24.439999999999998</v>
      </c>
      <c r="BD154" s="9"/>
      <c r="BE154" s="30"/>
      <c r="BF154" s="30"/>
      <c r="BG154" s="30"/>
      <c r="BH154" s="30"/>
      <c r="BI154" s="30"/>
      <c r="BJ154" s="30"/>
      <c r="BK154" s="30"/>
      <c r="BL154" s="30"/>
      <c r="BM154" s="30">
        <v>194.0457142857143</v>
      </c>
      <c r="BN154" s="30"/>
      <c r="BO154" s="30"/>
      <c r="BP154" s="30"/>
      <c r="BQ154" s="30"/>
      <c r="BR154" s="30"/>
      <c r="BS154" s="30"/>
      <c r="BT154" s="9"/>
      <c r="BU154" s="30">
        <v>1096.3828571428571</v>
      </c>
      <c r="BV154" s="30"/>
      <c r="BW154" s="9">
        <f t="shared" si="69"/>
        <v>17.617014922742058</v>
      </c>
      <c r="BX154" s="9">
        <f t="shared" si="70"/>
        <v>82.339162905508104</v>
      </c>
      <c r="BY154" s="9">
        <f t="shared" si="71"/>
        <v>4.3822171749850133E-2</v>
      </c>
      <c r="BZ154" s="9">
        <f t="shared" si="72"/>
        <v>98.460116569444907</v>
      </c>
      <c r="CA154" s="9">
        <f t="shared" si="73"/>
        <v>0.27176654043030996</v>
      </c>
      <c r="CB154" s="9">
        <f t="shared" si="74"/>
        <v>1.2681168901247837</v>
      </c>
      <c r="CC154" s="9"/>
      <c r="CD154" s="111">
        <v>24</v>
      </c>
      <c r="CE154" s="112">
        <v>5.3</v>
      </c>
      <c r="CF154" s="113">
        <v>-10</v>
      </c>
      <c r="CG154" s="30"/>
      <c r="CH154" s="8">
        <v>91.63</v>
      </c>
      <c r="CI154" s="10">
        <v>4.1189999999999998</v>
      </c>
      <c r="CJ154" s="32">
        <v>4.0130000000000001E-3</v>
      </c>
      <c r="CK154" s="8"/>
      <c r="CL154" s="8"/>
      <c r="CM154" s="8">
        <v>0.10299999999999999</v>
      </c>
      <c r="CN154" s="8"/>
      <c r="CO154" s="8">
        <v>3.6269999999999998</v>
      </c>
      <c r="CP154" s="8"/>
      <c r="CQ154" s="30"/>
      <c r="CR154" s="9"/>
      <c r="CS154" s="63">
        <v>-41.9</v>
      </c>
      <c r="CT154" s="63">
        <v>11.2</v>
      </c>
      <c r="CU154" s="9"/>
      <c r="CV154" s="9"/>
    </row>
    <row r="155" spans="1:100" x14ac:dyDescent="0.4">
      <c r="A155" s="26">
        <v>43</v>
      </c>
      <c r="B155" s="40" t="s">
        <v>343</v>
      </c>
      <c r="C155" s="69" t="s">
        <v>344</v>
      </c>
      <c r="D155" s="122" t="s">
        <v>471</v>
      </c>
      <c r="E155" s="76">
        <v>45.155875999999999</v>
      </c>
      <c r="F155" s="42">
        <v>35.437779999999997</v>
      </c>
      <c r="G155" s="30">
        <v>25.753613000000001</v>
      </c>
      <c r="H155" s="41">
        <v>42993</v>
      </c>
      <c r="I155" s="9">
        <f t="shared" si="68"/>
        <v>11.788888590757335</v>
      </c>
      <c r="J155" s="8"/>
      <c r="K155" s="68">
        <f>2200/(LOG(((U155/1000)^0.5)/(R155/1000000))+5.47)-273</f>
        <v>94.620219428958933</v>
      </c>
      <c r="L155" s="8"/>
      <c r="M155" s="8">
        <v>7.7</v>
      </c>
      <c r="N155" s="8"/>
      <c r="O155" s="29">
        <v>1830</v>
      </c>
      <c r="P155" s="30">
        <v>6028</v>
      </c>
      <c r="Q155" s="30"/>
      <c r="R155" s="30">
        <v>1795486.4747917268</v>
      </c>
      <c r="S155" s="30">
        <v>20009.28090151948</v>
      </c>
      <c r="T155" s="30">
        <v>3803275.4415763849</v>
      </c>
      <c r="U155" s="30">
        <v>34453.872440689156</v>
      </c>
      <c r="V155" s="30">
        <v>272.98901538461541</v>
      </c>
      <c r="W155" s="30">
        <v>6582.038464783207</v>
      </c>
      <c r="X155" s="30"/>
      <c r="Y155" s="30"/>
      <c r="Z155" s="30">
        <v>25361.962798374778</v>
      </c>
      <c r="AA155" s="30">
        <v>67797.313941887813</v>
      </c>
      <c r="AB155" s="30"/>
      <c r="AC155" s="9"/>
      <c r="AD155" s="9">
        <v>23.731428571428573</v>
      </c>
      <c r="AE155" s="9"/>
      <c r="AF155" s="9"/>
      <c r="AG155" s="9"/>
      <c r="AH155" s="9">
        <v>57.888000000000005</v>
      </c>
      <c r="AI155" s="9">
        <v>84.629257142857128</v>
      </c>
      <c r="AJ155" s="9"/>
      <c r="AK155" s="9">
        <v>13.459676698427595</v>
      </c>
      <c r="AL155" s="30">
        <v>56768.967142857146</v>
      </c>
      <c r="AM155" s="30">
        <v>2324.5562391444746</v>
      </c>
      <c r="AN155" s="30">
        <v>798.56571428571442</v>
      </c>
      <c r="AO155" s="30"/>
      <c r="AP155" s="30">
        <v>2732.1628571428569</v>
      </c>
      <c r="AQ155" s="30"/>
      <c r="AR155" s="30">
        <v>2037.2421428571429</v>
      </c>
      <c r="AS155" s="30">
        <v>2564.0351999999998</v>
      </c>
      <c r="AT155" s="30"/>
      <c r="AU155" s="30">
        <v>12997.342857142856</v>
      </c>
      <c r="AV155" s="30">
        <v>947.04714285714283</v>
      </c>
      <c r="AW155" s="30">
        <v>10634.260000000002</v>
      </c>
      <c r="AX155" s="30">
        <v>192.52571428571429</v>
      </c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9">
        <v>2.1057142857142859</v>
      </c>
      <c r="BS155" s="30"/>
      <c r="BT155" s="30"/>
      <c r="BU155" s="30">
        <v>302.42862857142859</v>
      </c>
      <c r="BV155" s="30"/>
      <c r="BW155" s="9">
        <f t="shared" si="69"/>
        <v>15.014803327224024</v>
      </c>
      <c r="BX155" s="9">
        <f t="shared" si="70"/>
        <v>84.98519667277597</v>
      </c>
      <c r="BY155" s="9">
        <f t="shared" si="71"/>
        <v>0</v>
      </c>
      <c r="BZ155" s="9">
        <f t="shared" si="72"/>
        <v>96.376188779536974</v>
      </c>
      <c r="CA155" s="9">
        <f t="shared" si="73"/>
        <v>1.9717623770975463</v>
      </c>
      <c r="CB155" s="9">
        <f t="shared" si="74"/>
        <v>1.6520488433654743</v>
      </c>
      <c r="CC155" s="9"/>
      <c r="CD155" s="8"/>
      <c r="CE155" s="9"/>
      <c r="CF155" s="30"/>
      <c r="CG155" s="30"/>
      <c r="CH155" s="10"/>
      <c r="CI155" s="10"/>
      <c r="CJ155" s="32"/>
      <c r="CK155" s="32"/>
      <c r="CL155" s="32"/>
      <c r="CM155" s="32"/>
      <c r="CN155" s="31"/>
      <c r="CO155" s="10"/>
      <c r="CP155" s="10"/>
      <c r="CQ155" s="8"/>
      <c r="CR155" s="9"/>
      <c r="CS155" s="128"/>
      <c r="CT155" s="112"/>
      <c r="CU155" s="9"/>
      <c r="CV155" s="9"/>
    </row>
    <row r="156" spans="1:100" x14ac:dyDescent="0.4">
      <c r="A156" s="26">
        <v>43</v>
      </c>
      <c r="B156" s="40" t="s">
        <v>345</v>
      </c>
      <c r="C156" s="71" t="s">
        <v>346</v>
      </c>
      <c r="D156" s="122" t="s">
        <v>471</v>
      </c>
      <c r="E156" s="76">
        <v>45.155558999999997</v>
      </c>
      <c r="F156" s="42">
        <v>35.437645000000003</v>
      </c>
      <c r="G156" s="30">
        <v>28.193798000000001</v>
      </c>
      <c r="H156" s="41">
        <v>44032</v>
      </c>
      <c r="I156" s="9">
        <f t="shared" si="68"/>
        <v>11.948303123434794</v>
      </c>
      <c r="J156" s="8"/>
      <c r="K156" s="68">
        <f>2200/(LOG(((U156/1000)^0.5)/(R156/1000000))+5.47)-273</f>
        <v>90.834990466804811</v>
      </c>
      <c r="L156" s="8">
        <v>55</v>
      </c>
      <c r="M156" s="8">
        <v>7.15</v>
      </c>
      <c r="N156" s="109" t="s">
        <v>66</v>
      </c>
      <c r="O156" s="110">
        <v>1916.4166666666667</v>
      </c>
      <c r="P156" s="30">
        <v>5739</v>
      </c>
      <c r="Q156" s="30"/>
      <c r="R156" s="30">
        <v>1463643.5675086738</v>
      </c>
      <c r="S156" s="9">
        <v>18604.793012789374</v>
      </c>
      <c r="T156" s="30">
        <v>4188302.8516614414</v>
      </c>
      <c r="U156" s="30">
        <v>30497.550369161188</v>
      </c>
      <c r="V156" s="9">
        <v>26.862857142857138</v>
      </c>
      <c r="W156" s="30">
        <v>9519.3590838778218</v>
      </c>
      <c r="X156" s="30">
        <v>534.94343393544386</v>
      </c>
      <c r="Y156" s="30"/>
      <c r="Z156" s="30">
        <v>17217.79269938096</v>
      </c>
      <c r="AA156" s="30">
        <v>56868.262038146429</v>
      </c>
      <c r="AB156" s="9"/>
      <c r="AC156" s="9"/>
      <c r="AD156" s="30">
        <v>271.35714285714289</v>
      </c>
      <c r="AE156" s="30">
        <v>6874.7305850171997</v>
      </c>
      <c r="AF156" s="9"/>
      <c r="AG156" s="9"/>
      <c r="AH156" s="9"/>
      <c r="AI156" s="9"/>
      <c r="AJ156" s="9"/>
      <c r="AK156" s="9">
        <v>34.801301746753246</v>
      </c>
      <c r="AL156" s="30">
        <v>51882.052619047616</v>
      </c>
      <c r="AM156" s="30">
        <v>2254.6943949092756</v>
      </c>
      <c r="AN156" s="30">
        <v>598.55357142857144</v>
      </c>
      <c r="AO156" s="30"/>
      <c r="AP156" s="30">
        <v>535.07500000000005</v>
      </c>
      <c r="AQ156" s="9"/>
      <c r="AR156" s="30">
        <v>1069.7425000000001</v>
      </c>
      <c r="AS156" s="30"/>
      <c r="AT156" s="30"/>
      <c r="AU156" s="30"/>
      <c r="AV156" s="30">
        <v>220.57714285714286</v>
      </c>
      <c r="AW156" s="30">
        <v>5670.0072</v>
      </c>
      <c r="AX156" s="30">
        <v>111.8142857142857</v>
      </c>
      <c r="AY156" s="30"/>
      <c r="AZ156" s="30"/>
      <c r="BA156" s="30"/>
      <c r="BB156" s="30"/>
      <c r="BC156" s="30"/>
      <c r="BD156" s="30"/>
      <c r="BE156" s="30"/>
      <c r="BF156" s="30"/>
      <c r="BG156" s="30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10"/>
      <c r="BS156" s="9"/>
      <c r="BT156" s="9"/>
      <c r="BU156" s="30">
        <v>230.36742857142858</v>
      </c>
      <c r="BV156" s="30"/>
      <c r="BW156" s="9">
        <f t="shared" si="69"/>
        <v>16.271435779286701</v>
      </c>
      <c r="BX156" s="9">
        <f t="shared" si="70"/>
        <v>83.728564220713309</v>
      </c>
      <c r="BY156" s="9">
        <f t="shared" si="71"/>
        <v>0</v>
      </c>
      <c r="BZ156" s="9">
        <f t="shared" si="72"/>
        <v>97.147570271184236</v>
      </c>
      <c r="CA156" s="9">
        <f t="shared" si="73"/>
        <v>1.5138886754346126</v>
      </c>
      <c r="CB156" s="9">
        <f t="shared" si="74"/>
        <v>1.338541053381157</v>
      </c>
      <c r="CC156" s="9"/>
      <c r="CD156" s="111">
        <v>15.7</v>
      </c>
      <c r="CE156" s="112">
        <v>12.2</v>
      </c>
      <c r="CF156" s="113">
        <v>-26</v>
      </c>
      <c r="CG156" s="30"/>
      <c r="CH156" s="8">
        <v>90.968000000000004</v>
      </c>
      <c r="CI156" s="10">
        <v>6.9249999999999998</v>
      </c>
      <c r="CJ156" s="8">
        <v>2E-3</v>
      </c>
      <c r="CK156" s="8"/>
      <c r="CL156" s="8">
        <v>8.0000000000000002E-3</v>
      </c>
      <c r="CM156" s="8">
        <v>8.5999999999999993E-2</v>
      </c>
      <c r="CN156" s="8"/>
      <c r="CO156" s="8">
        <v>1.956</v>
      </c>
      <c r="CP156" s="8"/>
      <c r="CQ156" s="30"/>
      <c r="CR156" s="9">
        <v>-2.7199999999999998</v>
      </c>
      <c r="CS156" s="63">
        <v>-57.8</v>
      </c>
      <c r="CT156" s="63">
        <v>2.9</v>
      </c>
      <c r="CU156" s="9"/>
      <c r="CV156" s="9"/>
    </row>
    <row r="157" spans="1:100" x14ac:dyDescent="0.4">
      <c r="A157" s="26">
        <v>44</v>
      </c>
      <c r="B157" s="40" t="s">
        <v>361</v>
      </c>
      <c r="C157" s="71" t="s">
        <v>362</v>
      </c>
      <c r="D157" s="122" t="s">
        <v>472</v>
      </c>
      <c r="E157" s="76">
        <v>45.456432</v>
      </c>
      <c r="F157" s="42">
        <v>35.823591</v>
      </c>
      <c r="G157" s="46">
        <v>46.718620000000001</v>
      </c>
      <c r="H157" s="41">
        <v>42208</v>
      </c>
      <c r="I157" s="9">
        <f t="shared" si="68"/>
        <v>191.0755405960779</v>
      </c>
      <c r="J157" s="8"/>
      <c r="K157" s="68"/>
      <c r="L157" s="8"/>
      <c r="M157" s="10">
        <v>11.7</v>
      </c>
      <c r="N157" s="10">
        <v>0.2</v>
      </c>
      <c r="O157" s="29">
        <v>2928</v>
      </c>
      <c r="P157" s="30">
        <v>93614</v>
      </c>
      <c r="Q157" s="30">
        <f>Y157/32*96/1000</f>
        <v>9879.0234543804509</v>
      </c>
      <c r="R157" s="30">
        <v>246504.84332163757</v>
      </c>
      <c r="S157" s="30">
        <v>5399.5292522443733</v>
      </c>
      <c r="T157" s="30">
        <v>25582838.020769492</v>
      </c>
      <c r="U157" s="30"/>
      <c r="V157" s="30">
        <v>4361.0702023751428</v>
      </c>
      <c r="W157" s="30">
        <v>2254.4283413848634</v>
      </c>
      <c r="X157" s="30"/>
      <c r="Y157" s="30">
        <v>3293007.8181268168</v>
      </c>
      <c r="Z157" s="30">
        <v>58126957.566498935</v>
      </c>
      <c r="AA157" s="30">
        <v>944721.5544289829</v>
      </c>
      <c r="AB157" s="30">
        <v>229.55050082581934</v>
      </c>
      <c r="AC157" s="30">
        <v>948.00945192848405</v>
      </c>
      <c r="AD157" s="9">
        <v>59.148674170362007</v>
      </c>
      <c r="AE157" s="30">
        <v>10202.956932862236</v>
      </c>
      <c r="AF157" s="30"/>
      <c r="AG157" s="30"/>
      <c r="AH157" s="30"/>
      <c r="AI157" s="30"/>
      <c r="AJ157" s="9"/>
      <c r="AK157" s="9"/>
      <c r="AL157" s="30">
        <v>87589.130677556197</v>
      </c>
      <c r="AM157" s="30">
        <v>6046.0371376587791</v>
      </c>
      <c r="AN157" s="9">
        <v>91.539614787465027</v>
      </c>
      <c r="AO157" s="9"/>
      <c r="AP157" s="9">
        <v>343967.60115312738</v>
      </c>
      <c r="AQ157" s="30"/>
      <c r="AR157" s="30">
        <v>878415.83593333827</v>
      </c>
      <c r="AS157" s="9"/>
      <c r="AT157" s="9"/>
      <c r="AU157" s="9">
        <v>12584.514577323342</v>
      </c>
      <c r="AV157" s="9">
        <v>3466.1202126387425</v>
      </c>
      <c r="AW157" s="30">
        <f>1000*40043.9572747826</f>
        <v>40043957.274782605</v>
      </c>
      <c r="AX157" s="9">
        <v>63747.066975727132</v>
      </c>
      <c r="AY157" s="3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9"/>
      <c r="BS157" s="10"/>
      <c r="BT157" s="10"/>
      <c r="BU157" s="10"/>
      <c r="BV157" s="10"/>
      <c r="BW157" s="9">
        <f t="shared" si="69"/>
        <v>1.6604244662709347</v>
      </c>
      <c r="BX157" s="9">
        <f t="shared" si="70"/>
        <v>91.220056329511308</v>
      </c>
      <c r="BY157" s="9">
        <f t="shared" si="71"/>
        <v>7.1195192042177533</v>
      </c>
      <c r="BZ157" s="9">
        <f t="shared" si="72"/>
        <v>95.93408621822158</v>
      </c>
      <c r="CA157" s="9">
        <f t="shared" si="73"/>
        <v>4.0659137817784119</v>
      </c>
      <c r="CB157" s="9">
        <f t="shared" si="74"/>
        <v>0</v>
      </c>
      <c r="CC157" s="9"/>
      <c r="CD157" s="8">
        <v>-30.9</v>
      </c>
      <c r="CE157" s="9">
        <v>0.7</v>
      </c>
      <c r="CF157" s="132">
        <v>-35</v>
      </c>
      <c r="CG157" s="10"/>
      <c r="CH157" s="10">
        <v>92.42</v>
      </c>
      <c r="CI157" s="27">
        <v>0.01</v>
      </c>
      <c r="CJ157" s="27">
        <v>7.9000000000000008E-3</v>
      </c>
      <c r="CK157" s="27"/>
      <c r="CL157" s="27"/>
      <c r="CM157" s="27"/>
      <c r="CN157" s="27">
        <v>0.02</v>
      </c>
      <c r="CO157" s="27">
        <v>1.98</v>
      </c>
      <c r="CP157" s="10">
        <f>SUM(CH157:CO157)</f>
        <v>94.437900000000013</v>
      </c>
      <c r="CQ157" s="10"/>
      <c r="CR157" s="128"/>
      <c r="CS157" s="128">
        <v>-39.700000000000003</v>
      </c>
      <c r="CT157" s="128"/>
      <c r="CU157" s="137">
        <v>-28.4</v>
      </c>
      <c r="CV157" s="137"/>
    </row>
    <row r="158" spans="1:100" x14ac:dyDescent="0.4">
      <c r="A158" s="26"/>
      <c r="B158" s="44"/>
      <c r="C158" s="69"/>
      <c r="D158" s="26"/>
      <c r="E158" s="76"/>
      <c r="F158" s="42"/>
      <c r="G158" s="8"/>
      <c r="H158" s="41"/>
      <c r="I158" s="8"/>
      <c r="J158" s="8"/>
      <c r="K158" s="68"/>
      <c r="L158" s="8"/>
      <c r="M158" s="8"/>
      <c r="N158" s="8"/>
      <c r="O158" s="29"/>
      <c r="P158" s="30"/>
      <c r="Q158" s="30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9"/>
      <c r="BX158" s="9"/>
      <c r="BY158" s="9"/>
      <c r="BZ158" s="9"/>
      <c r="CA158" s="9"/>
      <c r="CB158" s="9"/>
      <c r="CC158" s="9"/>
      <c r="CD158" s="8"/>
      <c r="CE158" s="9"/>
      <c r="CF158" s="30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9"/>
      <c r="CS158" s="9"/>
      <c r="CT158" s="9"/>
      <c r="CU158" s="9"/>
      <c r="CV158" s="9"/>
    </row>
    <row r="159" spans="1:100" x14ac:dyDescent="0.4">
      <c r="A159" s="26"/>
      <c r="B159" s="44"/>
      <c r="C159" s="75" t="s">
        <v>485</v>
      </c>
      <c r="D159" s="47"/>
      <c r="E159" s="76"/>
      <c r="F159" s="42"/>
      <c r="G159" s="8"/>
      <c r="H159" s="41"/>
      <c r="I159" s="8"/>
      <c r="J159" s="8"/>
      <c r="K159" s="68"/>
      <c r="L159" s="8"/>
      <c r="M159" s="8"/>
      <c r="N159" s="8"/>
      <c r="O159" s="29"/>
      <c r="P159" s="30"/>
      <c r="Q159" s="30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9"/>
      <c r="BS159" s="8"/>
      <c r="BT159" s="8"/>
      <c r="BU159" s="8"/>
      <c r="BV159" s="8"/>
      <c r="BW159" s="9"/>
      <c r="BX159" s="9"/>
      <c r="BY159" s="9"/>
      <c r="BZ159" s="9"/>
      <c r="CA159" s="9"/>
      <c r="CB159" s="9"/>
      <c r="CC159" s="9"/>
      <c r="CD159" s="8"/>
      <c r="CE159" s="9"/>
      <c r="CF159" s="30"/>
      <c r="CG159" s="8"/>
      <c r="CH159" s="8"/>
      <c r="CI159" s="8"/>
      <c r="CJ159" s="8"/>
      <c r="CK159" s="31"/>
      <c r="CL159" s="31"/>
      <c r="CM159" s="31"/>
      <c r="CN159" s="8"/>
      <c r="CO159" s="8"/>
      <c r="CP159" s="8"/>
      <c r="CQ159" s="8"/>
      <c r="CR159" s="9"/>
      <c r="CS159" s="9"/>
      <c r="CT159" s="9"/>
      <c r="CU159" s="9"/>
      <c r="CV159" s="9"/>
    </row>
    <row r="160" spans="1:100" s="90" customFormat="1" x14ac:dyDescent="0.4">
      <c r="A160" s="79"/>
      <c r="B160" s="91" t="s">
        <v>347</v>
      </c>
      <c r="C160" s="100" t="s">
        <v>348</v>
      </c>
      <c r="D160" s="101" t="s">
        <v>477</v>
      </c>
      <c r="E160" s="82">
        <v>44.732529999999997</v>
      </c>
      <c r="F160" s="83">
        <v>38.064438000000003</v>
      </c>
      <c r="G160" s="89">
        <v>90.638458</v>
      </c>
      <c r="H160" s="85">
        <v>44020</v>
      </c>
      <c r="I160" s="84"/>
      <c r="J160" s="84"/>
      <c r="K160" s="87"/>
      <c r="L160" s="84"/>
      <c r="M160" s="84"/>
      <c r="N160" s="84"/>
      <c r="O160" s="88"/>
      <c r="P160" s="89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140">
        <v>-9.6</v>
      </c>
      <c r="CE160" s="141">
        <v>-9.1999999999999993</v>
      </c>
      <c r="CF160" s="142">
        <v>-55</v>
      </c>
      <c r="CG160" s="84"/>
      <c r="CH160" s="84"/>
      <c r="CI160" s="84"/>
      <c r="CJ160" s="102"/>
      <c r="CK160" s="84"/>
      <c r="CL160" s="84"/>
      <c r="CM160" s="84"/>
      <c r="CN160" s="102"/>
      <c r="CO160" s="84"/>
      <c r="CP160" s="102"/>
      <c r="CQ160" s="84"/>
      <c r="CR160" s="86"/>
      <c r="CS160" s="86"/>
      <c r="CT160" s="86"/>
      <c r="CU160" s="86"/>
      <c r="CV160" s="86"/>
    </row>
    <row r="161" spans="1:100" x14ac:dyDescent="0.4">
      <c r="A161" s="26"/>
      <c r="B161" s="40" t="s">
        <v>349</v>
      </c>
      <c r="C161" s="71" t="s">
        <v>501</v>
      </c>
      <c r="D161" s="43" t="s">
        <v>502</v>
      </c>
      <c r="E161" s="76">
        <v>45.230860999999997</v>
      </c>
      <c r="F161" s="42">
        <v>37.289132000000002</v>
      </c>
      <c r="G161" s="8">
        <v>1</v>
      </c>
      <c r="H161" s="41">
        <v>40001</v>
      </c>
      <c r="I161" s="9"/>
      <c r="J161" s="8"/>
      <c r="K161" s="68"/>
      <c r="L161" s="8"/>
      <c r="M161" s="8"/>
      <c r="N161" s="9">
        <v>0.2</v>
      </c>
      <c r="O161" s="29">
        <v>49</v>
      </c>
      <c r="P161" s="30">
        <v>28</v>
      </c>
      <c r="Q161" s="30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9">
        <f>O161/61/(O161/61+P161/35.5+Q161/96*2)*100</f>
        <v>50.45685279187817</v>
      </c>
      <c r="BX161" s="9">
        <f>P161/35.5/(O161/61+P161/35.5+Q161/96*2)*100</f>
        <v>49.543147208121823</v>
      </c>
      <c r="BY161" s="9">
        <f>Q161/96*2/(O161/61+P161/35.5+Q161/96*2)*100</f>
        <v>0</v>
      </c>
      <c r="BZ161" s="9"/>
      <c r="CA161" s="9"/>
      <c r="CB161" s="9"/>
      <c r="CC161" s="9"/>
      <c r="CD161" s="9">
        <v>-10.199999999999999</v>
      </c>
      <c r="CE161" s="9">
        <v>-12.1</v>
      </c>
      <c r="CF161" s="30">
        <v>-75</v>
      </c>
      <c r="CG161" s="8"/>
      <c r="CH161" s="10"/>
      <c r="CI161" s="9"/>
      <c r="CJ161" s="10"/>
      <c r="CK161" s="32"/>
      <c r="CL161" s="32"/>
      <c r="CM161" s="32"/>
      <c r="CN161" s="31"/>
      <c r="CO161" s="10"/>
      <c r="CP161" s="10"/>
      <c r="CQ161" s="8"/>
      <c r="CR161" s="9"/>
      <c r="CS161" s="9"/>
      <c r="CT161" s="9"/>
      <c r="CU161" s="9"/>
      <c r="CV161" s="9"/>
    </row>
    <row r="162" spans="1:100" x14ac:dyDescent="0.4">
      <c r="A162" s="26"/>
      <c r="B162" s="40" t="s">
        <v>350</v>
      </c>
      <c r="C162" s="71" t="s">
        <v>351</v>
      </c>
      <c r="D162" s="43" t="s">
        <v>474</v>
      </c>
      <c r="E162" s="76">
        <v>45.275928999999998</v>
      </c>
      <c r="F162" s="42">
        <v>37.385514000000001</v>
      </c>
      <c r="G162" s="8">
        <v>61</v>
      </c>
      <c r="H162" s="41">
        <v>40001</v>
      </c>
      <c r="I162" s="9">
        <f>(O162+P162+Z162/1000+AA162/1000+T162/1000+U162/1000+Y162/1000/32*96)/1000</f>
        <v>3.6799013489432757</v>
      </c>
      <c r="J162" s="8"/>
      <c r="K162" s="68">
        <f>2200/(LOG(((U162/1000)^0.5)/(R162/1000000))+5.47)-273</f>
        <v>14.629257831018379</v>
      </c>
      <c r="L162" s="8"/>
      <c r="M162" s="8"/>
      <c r="N162" s="9">
        <v>0.4</v>
      </c>
      <c r="O162" s="29">
        <v>4.2</v>
      </c>
      <c r="P162" s="30">
        <v>620</v>
      </c>
      <c r="Q162" s="30">
        <f>Y162/32*96/1000</f>
        <v>1959.1140205923477</v>
      </c>
      <c r="R162" s="30">
        <v>84477.468277471358</v>
      </c>
      <c r="S162" s="30">
        <v>2229.2240633927904</v>
      </c>
      <c r="T162" s="30">
        <v>793143.05849189567</v>
      </c>
      <c r="U162" s="30">
        <v>162536.90238359061</v>
      </c>
      <c r="V162" s="30"/>
      <c r="W162" s="30">
        <v>1559.9543430402309</v>
      </c>
      <c r="X162" s="30"/>
      <c r="Y162" s="30">
        <v>653038.00686411595</v>
      </c>
      <c r="Z162" s="30">
        <v>13265.849905906236</v>
      </c>
      <c r="AA162" s="30">
        <v>127641.51756953499</v>
      </c>
      <c r="AB162" s="9">
        <v>2.4344215443664883</v>
      </c>
      <c r="AC162" s="30"/>
      <c r="AD162" s="10">
        <v>0.86253999999999997</v>
      </c>
      <c r="AE162" s="30"/>
      <c r="AF162" s="30"/>
      <c r="AG162" s="30"/>
      <c r="AH162" s="9">
        <v>1.6353846153846152</v>
      </c>
      <c r="AI162" s="9">
        <v>6.5673076923076925</v>
      </c>
      <c r="AJ162" s="9"/>
      <c r="AK162" s="9">
        <v>5.6706472761904756</v>
      </c>
      <c r="AL162" s="30">
        <v>3350.1500500000002</v>
      </c>
      <c r="AM162" s="30">
        <v>1644.8365790050937</v>
      </c>
      <c r="AN162" s="30">
        <v>126.70173076923076</v>
      </c>
      <c r="AO162" s="30"/>
      <c r="AP162" s="30"/>
      <c r="AQ162" s="30"/>
      <c r="AR162" s="30">
        <v>6457.4210392156874</v>
      </c>
      <c r="AS162" s="30"/>
      <c r="AT162" s="8"/>
      <c r="AU162" s="30">
        <v>157.79374999999999</v>
      </c>
      <c r="AV162" s="30">
        <v>295.38110384615385</v>
      </c>
      <c r="AW162" s="30">
        <v>1841.9735238095241</v>
      </c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9">
        <v>38.548247863247866</v>
      </c>
      <c r="BQ162" s="9"/>
      <c r="BR162" s="9"/>
      <c r="BS162" s="30"/>
      <c r="BT162" s="30"/>
      <c r="BU162" s="30">
        <v>638.01194285714291</v>
      </c>
      <c r="BV162" s="30"/>
      <c r="BW162" s="9">
        <f>O162/61/(O162/61+P162/35.5+Q162/96*2)*100</f>
        <v>0.11800207272501555</v>
      </c>
      <c r="BX162" s="9">
        <f>P162/35.5/(O162/61+P162/35.5+Q162/96*2)*100</f>
        <v>29.931847018511661</v>
      </c>
      <c r="BY162" s="9">
        <f>Q162/96*2/(O162/61+P162/35.5+Q162/96*2)*100</f>
        <v>69.95015090876332</v>
      </c>
      <c r="BZ162" s="9">
        <f>T162/23/(T162/23+U162/24.31*2+AA162/40.08*2)*100</f>
        <v>63.594187030081969</v>
      </c>
      <c r="CA162" s="9">
        <f>AA162/40.08*2/(T162/23+U162/24.31*2+AA162/40.08*2)*100</f>
        <v>11.745945189531987</v>
      </c>
      <c r="CB162" s="9">
        <f>U162/24.31*2/(T162/23+U162/24.31*2+AA162/40.08*2)*100</f>
        <v>24.659867780386033</v>
      </c>
      <c r="CC162" s="9"/>
      <c r="CD162" s="9">
        <v>-14.2</v>
      </c>
      <c r="CE162" s="9">
        <v>0</v>
      </c>
      <c r="CF162" s="30">
        <v>-22</v>
      </c>
      <c r="CG162" s="30"/>
      <c r="CH162" s="10"/>
      <c r="CI162" s="9"/>
      <c r="CJ162" s="10"/>
      <c r="CK162" s="32"/>
      <c r="CL162" s="32"/>
      <c r="CM162" s="32"/>
      <c r="CN162" s="31"/>
      <c r="CO162" s="10"/>
      <c r="CP162" s="10"/>
      <c r="CQ162" s="8"/>
      <c r="CR162" s="9"/>
      <c r="CS162" s="9"/>
      <c r="CT162" s="9"/>
      <c r="CU162" s="9"/>
      <c r="CV162" s="9"/>
    </row>
    <row r="163" spans="1:100" x14ac:dyDescent="0.4">
      <c r="A163" s="26"/>
      <c r="B163" s="40" t="s">
        <v>352</v>
      </c>
      <c r="C163" s="71" t="s">
        <v>353</v>
      </c>
      <c r="D163" s="120" t="s">
        <v>473</v>
      </c>
      <c r="E163" s="76">
        <v>45.35413888888889</v>
      </c>
      <c r="F163" s="42">
        <v>36.71380555555556</v>
      </c>
      <c r="G163" s="8">
        <v>0</v>
      </c>
      <c r="H163" s="41">
        <v>40003</v>
      </c>
      <c r="I163" s="9"/>
      <c r="J163" s="8"/>
      <c r="K163" s="68"/>
      <c r="L163" s="8"/>
      <c r="M163" s="8"/>
      <c r="N163" s="9">
        <v>0.5</v>
      </c>
      <c r="O163" s="29">
        <v>220</v>
      </c>
      <c r="P163" s="30">
        <v>11220</v>
      </c>
      <c r="Q163" s="30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9">
        <f>O163/61/(O163/61+P163/35.5+Q163/96*2)*100</f>
        <v>1.1282377244557444</v>
      </c>
      <c r="BX163" s="9">
        <f>P163/35.5/(O163/61+P163/35.5+Q163/96*2)*100</f>
        <v>98.871762275544256</v>
      </c>
      <c r="BY163" s="9">
        <f>Q163/96*2/(O163/61+P163/35.5+Q163/96*2)*100</f>
        <v>0</v>
      </c>
      <c r="BZ163" s="9"/>
      <c r="CA163" s="9"/>
      <c r="CB163" s="9"/>
      <c r="CC163" s="9"/>
      <c r="CD163" s="9">
        <v>-7.3</v>
      </c>
      <c r="CE163" s="9">
        <v>-0.2</v>
      </c>
      <c r="CF163" s="30">
        <v>-14</v>
      </c>
      <c r="CG163" s="8"/>
      <c r="CH163" s="10"/>
      <c r="CI163" s="9"/>
      <c r="CJ163" s="10"/>
      <c r="CK163" s="32"/>
      <c r="CL163" s="32"/>
      <c r="CM163" s="32"/>
      <c r="CN163" s="10"/>
      <c r="CO163" s="31"/>
      <c r="CP163" s="10"/>
      <c r="CQ163" s="8"/>
      <c r="CR163" s="9"/>
      <c r="CS163" s="9"/>
      <c r="CT163" s="9"/>
      <c r="CU163" s="9"/>
      <c r="CV163" s="9"/>
    </row>
    <row r="164" spans="1:100" x14ac:dyDescent="0.4">
      <c r="A164" s="26"/>
      <c r="B164" s="40" t="s">
        <v>354</v>
      </c>
      <c r="C164" s="71" t="s">
        <v>353</v>
      </c>
      <c r="D164" s="120" t="s">
        <v>473</v>
      </c>
      <c r="E164" s="76">
        <v>45.35413888888889</v>
      </c>
      <c r="F164" s="42">
        <v>36.71380555555556</v>
      </c>
      <c r="G164" s="8">
        <v>0</v>
      </c>
      <c r="H164" s="41">
        <v>40003</v>
      </c>
      <c r="I164" s="9"/>
      <c r="J164" s="8">
        <v>27.6</v>
      </c>
      <c r="K164" s="68"/>
      <c r="L164" s="8"/>
      <c r="M164" s="8"/>
      <c r="N164" s="9"/>
      <c r="O164" s="29"/>
      <c r="P164" s="30"/>
      <c r="Q164" s="30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9"/>
      <c r="BX164" s="9"/>
      <c r="BY164" s="9"/>
      <c r="BZ164" s="9"/>
      <c r="CA164" s="9"/>
      <c r="CB164" s="9"/>
      <c r="CC164" s="9"/>
      <c r="CD164" s="9">
        <v>-8.1999999999999993</v>
      </c>
      <c r="CE164" s="9">
        <v>-0.3</v>
      </c>
      <c r="CF164" s="30">
        <v>-13</v>
      </c>
      <c r="CG164" s="8"/>
      <c r="CH164" s="10"/>
      <c r="CI164" s="8"/>
      <c r="CJ164" s="10"/>
      <c r="CK164" s="32"/>
      <c r="CL164" s="32"/>
      <c r="CM164" s="32"/>
      <c r="CN164" s="10"/>
      <c r="CO164" s="31"/>
      <c r="CP164" s="10"/>
      <c r="CQ164" s="8"/>
      <c r="CR164" s="9"/>
      <c r="CS164" s="9"/>
      <c r="CT164" s="9"/>
      <c r="CU164" s="9"/>
      <c r="CV164" s="9"/>
    </row>
    <row r="165" spans="1:100" x14ac:dyDescent="0.4">
      <c r="A165" s="26"/>
      <c r="B165" s="40" t="s">
        <v>355</v>
      </c>
      <c r="C165" s="71" t="s">
        <v>353</v>
      </c>
      <c r="D165" s="120" t="s">
        <v>473</v>
      </c>
      <c r="E165" s="76">
        <v>45.35425</v>
      </c>
      <c r="F165" s="42">
        <v>36.714233999999998</v>
      </c>
      <c r="G165" s="30">
        <v>0</v>
      </c>
      <c r="H165" s="41">
        <v>43988</v>
      </c>
      <c r="I165" s="9">
        <f>(O165+P165+Z165/1000+AA165/1000+T165/1000+U165/1000+Y165/1000/32*96)/1000</f>
        <v>25.51185863849167</v>
      </c>
      <c r="J165" s="8">
        <v>31.5</v>
      </c>
      <c r="K165" s="68">
        <f>2200/(LOG(((U165/1000)^0.5)/(R165/1000000))+5.47)-273</f>
        <v>3.4039061398202648</v>
      </c>
      <c r="L165" s="8">
        <v>218</v>
      </c>
      <c r="M165" s="8">
        <v>8.33</v>
      </c>
      <c r="N165" s="109" t="s">
        <v>66</v>
      </c>
      <c r="O165" s="110">
        <v>274.5</v>
      </c>
      <c r="P165" s="30">
        <v>13782</v>
      </c>
      <c r="Q165" s="30">
        <f>Y165/32*96/1000</f>
        <v>1928.020265198182</v>
      </c>
      <c r="R165" s="30">
        <v>106493.89308218297</v>
      </c>
      <c r="S165" s="30">
        <v>3878.089430588976</v>
      </c>
      <c r="T165" s="30">
        <v>7800530.9645322133</v>
      </c>
      <c r="U165" s="30">
        <v>1079897.3431014563</v>
      </c>
      <c r="V165" s="9"/>
      <c r="W165" s="30">
        <v>1607.8313670260663</v>
      </c>
      <c r="X165" s="30"/>
      <c r="Y165" s="30">
        <v>642673.42173272732</v>
      </c>
      <c r="Z165" s="30">
        <v>303183.8949696031</v>
      </c>
      <c r="AA165" s="30">
        <v>343726.17069021461</v>
      </c>
      <c r="AB165" s="9">
        <v>7.2834998973347993</v>
      </c>
      <c r="AC165" s="9"/>
      <c r="AD165" s="9">
        <v>32.354285714285716</v>
      </c>
      <c r="AE165" s="30"/>
      <c r="AF165" s="9"/>
      <c r="AG165" s="9"/>
      <c r="AH165" s="9"/>
      <c r="AI165" s="9"/>
      <c r="AJ165" s="9"/>
      <c r="AK165" s="9">
        <v>5.170913480360781</v>
      </c>
      <c r="AL165" s="30">
        <v>60264.105238095231</v>
      </c>
      <c r="AM165" s="30">
        <v>6133.0819171293933</v>
      </c>
      <c r="AN165" s="30">
        <v>79.387142857142848</v>
      </c>
      <c r="AO165" s="30"/>
      <c r="AP165" s="30">
        <v>460.54999999999995</v>
      </c>
      <c r="AQ165" s="30"/>
      <c r="AR165" s="30">
        <v>5340.085</v>
      </c>
      <c r="AS165" s="30"/>
      <c r="AT165" s="30"/>
      <c r="AU165" s="30">
        <v>822.4</v>
      </c>
      <c r="AV165" s="30">
        <v>419.5542857142857</v>
      </c>
      <c r="AW165" s="30">
        <v>83840.494400000011</v>
      </c>
      <c r="AX165" s="9">
        <v>90.948571428571427</v>
      </c>
      <c r="AY165" s="30"/>
      <c r="AZ165" s="9">
        <v>52.811428571428571</v>
      </c>
      <c r="BA165" s="9"/>
      <c r="BB165" s="9"/>
      <c r="BC165" s="9"/>
      <c r="BD165" s="9"/>
      <c r="BE165" s="9">
        <v>35.039999999999992</v>
      </c>
      <c r="BF165" s="9"/>
      <c r="BG165" s="9"/>
      <c r="BH165" s="9"/>
      <c r="BI165" s="9"/>
      <c r="BJ165" s="9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>
        <v>2264.9268571428574</v>
      </c>
      <c r="BV165" s="30"/>
      <c r="BW165" s="9">
        <f>O165/61/(O165/61+P165/35.5+Q165/96*2)*100</f>
        <v>1.0395191909349502</v>
      </c>
      <c r="BX165" s="9">
        <f>P165/35.5/(O165/61+P165/35.5+Q165/96*2)*100</f>
        <v>89.681711984134481</v>
      </c>
      <c r="BY165" s="9">
        <f>Q165/96*2/(O165/61+P165/35.5+Q165/96*2)*100</f>
        <v>9.278768824930566</v>
      </c>
      <c r="BZ165" s="9">
        <f>T165/23/(T165/23+U165/24.31*2+AA165/40.08*2)*100</f>
        <v>76.188694794602029</v>
      </c>
      <c r="CA165" s="9">
        <f>AA165/40.08*2/(T165/23+U165/24.31*2+AA165/40.08*2)*100</f>
        <v>3.8530894125664052</v>
      </c>
      <c r="CB165" s="9">
        <f>U165/24.31*2/(T165/23+U165/24.31*2+AA165/40.08*2)*100</f>
        <v>19.958215792831563</v>
      </c>
      <c r="CC165" s="9"/>
      <c r="CD165" s="111">
        <v>-3.9</v>
      </c>
      <c r="CE165" s="112">
        <v>0.8</v>
      </c>
      <c r="CF165" s="113">
        <v>-3</v>
      </c>
      <c r="CG165" s="30"/>
      <c r="CH165" s="8"/>
      <c r="CI165" s="10"/>
      <c r="CJ165" s="8"/>
      <c r="CK165" s="8"/>
      <c r="CL165" s="8"/>
      <c r="CM165" s="8"/>
      <c r="CN165" s="8"/>
      <c r="CO165" s="8"/>
      <c r="CP165" s="8"/>
      <c r="CQ165" s="30"/>
      <c r="CR165" s="9"/>
      <c r="CS165" s="9"/>
      <c r="CT165" s="9"/>
      <c r="CU165" s="9"/>
      <c r="CV165" s="9"/>
    </row>
    <row r="166" spans="1:100" x14ac:dyDescent="0.4">
      <c r="A166" s="26"/>
      <c r="B166" s="40" t="s">
        <v>356</v>
      </c>
      <c r="C166" s="71" t="s">
        <v>357</v>
      </c>
      <c r="D166" s="43" t="s">
        <v>503</v>
      </c>
      <c r="E166" s="76">
        <v>45.309353000000002</v>
      </c>
      <c r="F166" s="42">
        <v>37.032460999999998</v>
      </c>
      <c r="G166" s="8">
        <v>98</v>
      </c>
      <c r="H166" s="41">
        <v>40005</v>
      </c>
      <c r="I166" s="9"/>
      <c r="J166" s="8"/>
      <c r="K166" s="68"/>
      <c r="L166" s="8"/>
      <c r="M166" s="8"/>
      <c r="N166" s="9">
        <v>0.9</v>
      </c>
      <c r="O166" s="29">
        <v>512</v>
      </c>
      <c r="P166" s="30">
        <v>2312</v>
      </c>
      <c r="Q166" s="30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9">
        <f>O166/61/(O166/61+P166/35.5+Q166/96*2)*100</f>
        <v>11.416511733078741</v>
      </c>
      <c r="BX166" s="9">
        <f>P166/35.5/(O166/61+P166/35.5+Q166/96*2)*100</f>
        <v>88.583488266921265</v>
      </c>
      <c r="BY166" s="9">
        <f>Q166/96*2/(O166/61+P166/35.5+Q166/96*2)*100</f>
        <v>0</v>
      </c>
      <c r="BZ166" s="9"/>
      <c r="CA166" s="9"/>
      <c r="CB166" s="9"/>
      <c r="CC166" s="9"/>
      <c r="CD166" s="9">
        <v>-9.1999999999999993</v>
      </c>
      <c r="CE166" s="9">
        <v>4.4000000000000004</v>
      </c>
      <c r="CF166" s="30">
        <v>0.5</v>
      </c>
      <c r="CG166" s="8"/>
      <c r="CH166" s="10"/>
      <c r="CI166" s="8"/>
      <c r="CJ166" s="10"/>
      <c r="CK166" s="32"/>
      <c r="CL166" s="32"/>
      <c r="CM166" s="32"/>
      <c r="CN166" s="10"/>
      <c r="CO166" s="31"/>
      <c r="CP166" s="8"/>
      <c r="CQ166" s="8"/>
      <c r="CR166" s="9"/>
      <c r="CS166" s="9"/>
      <c r="CT166" s="9"/>
      <c r="CU166" s="9"/>
      <c r="CV166" s="9"/>
    </row>
    <row r="167" spans="1:100" x14ac:dyDescent="0.4">
      <c r="A167" s="26"/>
      <c r="B167" s="40"/>
      <c r="C167" s="71"/>
      <c r="D167" s="43"/>
      <c r="E167" s="76"/>
      <c r="F167" s="42"/>
      <c r="G167" s="8"/>
      <c r="H167" s="41"/>
      <c r="I167" s="9"/>
      <c r="J167" s="8"/>
      <c r="K167" s="68"/>
      <c r="L167" s="8"/>
      <c r="M167" s="8"/>
      <c r="N167" s="8"/>
      <c r="O167" s="29"/>
      <c r="P167" s="30"/>
      <c r="Q167" s="30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9"/>
      <c r="BX167" s="9"/>
      <c r="BY167" s="9"/>
      <c r="BZ167" s="9"/>
      <c r="CA167" s="9"/>
      <c r="CB167" s="9"/>
      <c r="CC167" s="9"/>
      <c r="CD167" s="8"/>
      <c r="CE167" s="9"/>
      <c r="CF167" s="30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9"/>
      <c r="CS167" s="9"/>
      <c r="CT167" s="9"/>
      <c r="CU167" s="9"/>
      <c r="CV167" s="9"/>
    </row>
    <row r="168" spans="1:100" x14ac:dyDescent="0.4">
      <c r="A168" s="26"/>
      <c r="B168" s="44"/>
      <c r="C168" s="75" t="s">
        <v>486</v>
      </c>
      <c r="D168" s="47"/>
      <c r="E168" s="76"/>
      <c r="F168" s="42"/>
      <c r="G168" s="8"/>
      <c r="H168" s="41"/>
      <c r="I168" s="8"/>
      <c r="J168" s="8"/>
      <c r="K168" s="68"/>
      <c r="L168" s="8"/>
      <c r="M168" s="8"/>
      <c r="N168" s="8"/>
      <c r="O168" s="29"/>
      <c r="P168" s="30"/>
      <c r="Q168" s="30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9"/>
      <c r="BX168" s="9"/>
      <c r="BY168" s="9"/>
      <c r="BZ168" s="9"/>
      <c r="CA168" s="9"/>
      <c r="CB168" s="9"/>
      <c r="CC168" s="9"/>
      <c r="CD168" s="8"/>
      <c r="CE168" s="9"/>
      <c r="CF168" s="30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9"/>
      <c r="CS168" s="9"/>
      <c r="CT168" s="9"/>
      <c r="CU168" s="9"/>
      <c r="CV168" s="9"/>
    </row>
    <row r="169" spans="1:100" x14ac:dyDescent="0.4">
      <c r="A169" s="26"/>
      <c r="B169" s="44" t="s">
        <v>512</v>
      </c>
      <c r="C169" s="69" t="s">
        <v>358</v>
      </c>
      <c r="D169" s="26" t="s">
        <v>504</v>
      </c>
      <c r="E169" s="76">
        <v>45.376666999999998</v>
      </c>
      <c r="F169" s="42">
        <v>36.430833</v>
      </c>
      <c r="G169" s="8" t="s">
        <v>270</v>
      </c>
      <c r="H169" s="41">
        <v>43000</v>
      </c>
      <c r="I169" s="9"/>
      <c r="J169" s="8"/>
      <c r="K169" s="68"/>
      <c r="L169" s="8"/>
      <c r="M169" s="9">
        <v>7</v>
      </c>
      <c r="N169" s="8"/>
      <c r="O169" s="29">
        <v>305</v>
      </c>
      <c r="P169" s="30">
        <v>78</v>
      </c>
      <c r="Q169" s="30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9"/>
      <c r="BX169" s="9"/>
      <c r="BY169" s="9"/>
      <c r="BZ169" s="9"/>
      <c r="CA169" s="9"/>
      <c r="CB169" s="9"/>
      <c r="CC169" s="9"/>
      <c r="CD169" s="8">
        <v>-14.2</v>
      </c>
      <c r="CE169" s="9">
        <v>-14.4</v>
      </c>
      <c r="CF169" s="30">
        <v>-96.7</v>
      </c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9"/>
      <c r="CS169" s="9"/>
      <c r="CT169" s="9"/>
      <c r="CU169" s="9"/>
      <c r="CV169" s="9"/>
    </row>
    <row r="170" spans="1:100" x14ac:dyDescent="0.4">
      <c r="A170" s="26"/>
      <c r="B170" s="44" t="s">
        <v>512</v>
      </c>
      <c r="C170" s="69" t="s">
        <v>383</v>
      </c>
      <c r="D170" s="26" t="s">
        <v>478</v>
      </c>
      <c r="E170" s="76">
        <v>45.32958</v>
      </c>
      <c r="F170" s="42">
        <v>37.275607000000001</v>
      </c>
      <c r="G170" s="8">
        <v>3</v>
      </c>
      <c r="H170" s="41">
        <v>43002</v>
      </c>
      <c r="I170" s="9"/>
      <c r="J170" s="8"/>
      <c r="K170" s="68"/>
      <c r="L170" s="8"/>
      <c r="M170" s="8">
        <v>7.4</v>
      </c>
      <c r="N170" s="8"/>
      <c r="O170" s="29">
        <v>370</v>
      </c>
      <c r="P170" s="30">
        <v>234</v>
      </c>
      <c r="Q170" s="30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9"/>
      <c r="BX170" s="9"/>
      <c r="BY170" s="9"/>
      <c r="BZ170" s="9"/>
      <c r="CA170" s="9"/>
      <c r="CB170" s="9"/>
      <c r="CC170" s="9"/>
      <c r="CD170" s="8">
        <v>-3</v>
      </c>
      <c r="CE170" s="9">
        <v>-10.6</v>
      </c>
      <c r="CF170" s="30">
        <v>-73.099999999999994</v>
      </c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9"/>
      <c r="CS170" s="9"/>
      <c r="CT170" s="9"/>
      <c r="CU170" s="9"/>
      <c r="CV170" s="9"/>
    </row>
    <row r="171" spans="1:100" x14ac:dyDescent="0.4">
      <c r="A171" s="26"/>
      <c r="B171" s="40" t="s">
        <v>359</v>
      </c>
      <c r="C171" s="71" t="s">
        <v>360</v>
      </c>
      <c r="D171" s="43" t="s">
        <v>476</v>
      </c>
      <c r="E171" s="76">
        <v>45.237119999999997</v>
      </c>
      <c r="F171" s="42">
        <v>36.115506000000003</v>
      </c>
      <c r="G171" s="46">
        <v>102.443619</v>
      </c>
      <c r="H171" s="41">
        <v>42208</v>
      </c>
      <c r="I171" s="9"/>
      <c r="J171" s="8">
        <v>13.7</v>
      </c>
      <c r="K171" s="68"/>
      <c r="L171" s="8"/>
      <c r="M171" s="10"/>
      <c r="N171" s="10"/>
      <c r="O171" s="29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9"/>
      <c r="AE171" s="30"/>
      <c r="AF171" s="30"/>
      <c r="AG171" s="30"/>
      <c r="AH171" s="30"/>
      <c r="AI171" s="30"/>
      <c r="AJ171" s="9"/>
      <c r="AK171" s="9"/>
      <c r="AL171" s="30"/>
      <c r="AM171" s="30"/>
      <c r="AN171" s="30"/>
      <c r="AO171" s="9"/>
      <c r="AP171" s="9"/>
      <c r="AQ171" s="9"/>
      <c r="AR171" s="10"/>
      <c r="AS171" s="9"/>
      <c r="AT171" s="9"/>
      <c r="AU171" s="9"/>
      <c r="AV171" s="31"/>
      <c r="AW171" s="30"/>
      <c r="AX171" s="9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9"/>
      <c r="BS171" s="10"/>
      <c r="BT171" s="10"/>
      <c r="BU171" s="10"/>
      <c r="BV171" s="10"/>
      <c r="BW171" s="9"/>
      <c r="BX171" s="9"/>
      <c r="BY171" s="9"/>
      <c r="BZ171" s="9"/>
      <c r="CA171" s="9"/>
      <c r="CB171" s="9"/>
      <c r="CC171" s="9"/>
      <c r="CD171" s="8">
        <v>-18.7</v>
      </c>
      <c r="CE171" s="9">
        <v>-8.3000000000000007</v>
      </c>
      <c r="CF171" s="132">
        <v>-57</v>
      </c>
      <c r="CG171" s="10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128"/>
      <c r="CS171" s="128"/>
      <c r="CT171" s="128"/>
      <c r="CU171" s="137"/>
      <c r="CV171" s="137"/>
    </row>
    <row r="172" spans="1:100" x14ac:dyDescent="0.4">
      <c r="A172" s="26"/>
      <c r="B172" s="40" t="s">
        <v>363</v>
      </c>
      <c r="C172" s="71" t="s">
        <v>364</v>
      </c>
      <c r="D172" s="143" t="s">
        <v>511</v>
      </c>
      <c r="E172" s="76">
        <v>45.41771</v>
      </c>
      <c r="F172" s="42">
        <v>36.074930000000002</v>
      </c>
      <c r="G172" s="46">
        <v>0</v>
      </c>
      <c r="H172" s="41">
        <v>42208</v>
      </c>
      <c r="I172" s="9">
        <f>(O172+P172+Z172/1000+AA172/1000+T172/1000+U172/1000+Y172/1000/32*96)/1000</f>
        <v>13.274343359287066</v>
      </c>
      <c r="J172" s="8"/>
      <c r="K172" s="68">
        <f>2200/(LOG(((U172/1000)^0.5)/(R172/1000000))+5.47)-273</f>
        <v>2.35799912417923</v>
      </c>
      <c r="L172" s="8"/>
      <c r="M172" s="10">
        <v>7.9</v>
      </c>
      <c r="N172" s="10">
        <v>0.4</v>
      </c>
      <c r="O172" s="29">
        <v>122</v>
      </c>
      <c r="P172" s="30">
        <v>7304</v>
      </c>
      <c r="Q172" s="30">
        <f>Y172/32*96/1000</f>
        <v>1105.1800983454343</v>
      </c>
      <c r="R172" s="9">
        <v>66137.241784188693</v>
      </c>
      <c r="S172" s="30">
        <v>2031.3340860858962</v>
      </c>
      <c r="T172" s="30">
        <v>3898286.3474304699</v>
      </c>
      <c r="U172" s="30">
        <v>478729.50892776297</v>
      </c>
      <c r="V172" s="30">
        <v>105.81214403601025</v>
      </c>
      <c r="W172" s="30">
        <v>237.71183191473048</v>
      </c>
      <c r="X172" s="30"/>
      <c r="Y172" s="30">
        <v>368393.36611514474</v>
      </c>
      <c r="Z172" s="30">
        <v>150957.12184145569</v>
      </c>
      <c r="AA172" s="30">
        <v>215190.28274194303</v>
      </c>
      <c r="AB172" s="30"/>
      <c r="AC172" s="30"/>
      <c r="AD172" s="9">
        <v>3.8747486601169223</v>
      </c>
      <c r="AE172" s="30"/>
      <c r="AF172" s="30"/>
      <c r="AG172" s="30"/>
      <c r="AH172" s="30"/>
      <c r="AI172" s="30"/>
      <c r="AJ172" s="30"/>
      <c r="AK172" s="30"/>
      <c r="AL172" s="30">
        <v>25183.575226142006</v>
      </c>
      <c r="AM172" s="30">
        <v>3091.9311513380853</v>
      </c>
      <c r="AN172" s="9">
        <v>60.319655264414138</v>
      </c>
      <c r="AO172" s="9"/>
      <c r="AP172" s="9"/>
      <c r="AQ172" s="9"/>
      <c r="AR172" s="9">
        <v>4229.2675902140236</v>
      </c>
      <c r="AS172" s="9"/>
      <c r="AT172" s="9"/>
      <c r="AU172" s="9">
        <v>938.48911039396251</v>
      </c>
      <c r="AV172" s="10">
        <v>369.2478561359643</v>
      </c>
      <c r="AW172" s="9">
        <f>1000*37.0345836334266</f>
        <v>37034.583633426599</v>
      </c>
      <c r="AX172" s="10">
        <v>69.589454962158882</v>
      </c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9"/>
      <c r="BS172" s="10"/>
      <c r="BT172" s="10"/>
      <c r="BU172" s="9">
        <v>3379.4249751995126</v>
      </c>
      <c r="BV172" s="9"/>
      <c r="BW172" s="9">
        <f>O172/61/(O172/61+P172/35.5+Q172/96*2)*100</f>
        <v>0.86665978096207041</v>
      </c>
      <c r="BX172" s="9">
        <f>P172/35.5/(O172/61+P172/35.5+Q172/96*2)*100</f>
        <v>89.156099156999446</v>
      </c>
      <c r="BY172" s="9">
        <f>Q172/96*2/(O172/61+P172/35.5+Q172/96*2)*100</f>
        <v>9.9772410620384733</v>
      </c>
      <c r="BZ172" s="9">
        <f>T172/23/(T172/23+U172/24.31*2+AA172/40.08*2)*100</f>
        <v>77.176590603041646</v>
      </c>
      <c r="CA172" s="9">
        <f>AA172/40.08*2/(T172/23+U172/24.31*2+AA172/40.08*2)*100</f>
        <v>4.8895019886710616</v>
      </c>
      <c r="CB172" s="9">
        <f>U172/24.31*2/(T172/23+U172/24.31*2+AA172/40.08*2)*100</f>
        <v>17.933907408287286</v>
      </c>
      <c r="CC172" s="9"/>
      <c r="CD172" s="8">
        <v>-0.8</v>
      </c>
      <c r="CE172" s="9">
        <v>-2.8</v>
      </c>
      <c r="CF172" s="30">
        <v>-22</v>
      </c>
      <c r="CG172" s="9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9"/>
      <c r="CS172" s="9"/>
      <c r="CT172" s="9"/>
      <c r="CU172" s="137"/>
      <c r="CV172" s="137"/>
    </row>
    <row r="173" spans="1:100" x14ac:dyDescent="0.4">
      <c r="A173" s="26"/>
      <c r="B173" s="40" t="s">
        <v>365</v>
      </c>
      <c r="C173" s="71" t="s">
        <v>366</v>
      </c>
      <c r="D173" s="151" t="s">
        <v>506</v>
      </c>
      <c r="E173" s="76">
        <v>45.41771</v>
      </c>
      <c r="F173" s="42">
        <v>36.074930000000002</v>
      </c>
      <c r="G173" s="46">
        <v>2</v>
      </c>
      <c r="H173" s="41">
        <v>42212</v>
      </c>
      <c r="I173" s="9">
        <f>(O173+P173+Z173/1000+AA173/1000+T173/1000+U173/1000+Y173/1000/32*96)/1000</f>
        <v>2.0679221360458011</v>
      </c>
      <c r="J173" s="8"/>
      <c r="K173" s="68">
        <f>2200/(LOG(((U173/1000)^0.5)/(R173/1000000))+5.47)-273</f>
        <v>22.777870415445875</v>
      </c>
      <c r="L173" s="8"/>
      <c r="M173" s="10">
        <v>7.8</v>
      </c>
      <c r="N173" s="10">
        <v>0.2</v>
      </c>
      <c r="O173" s="29">
        <v>305</v>
      </c>
      <c r="P173" s="30">
        <v>851</v>
      </c>
      <c r="Q173" s="30">
        <f>Y173/32*96/1000</f>
        <v>442.60193210831289</v>
      </c>
      <c r="R173" s="30">
        <v>111258.3852173881</v>
      </c>
      <c r="S173" s="30">
        <v>875.53053367217331</v>
      </c>
      <c r="T173" s="30">
        <v>251227.45499410498</v>
      </c>
      <c r="U173" s="30">
        <v>106830.16605272159</v>
      </c>
      <c r="V173" s="30">
        <v>114.307869932968</v>
      </c>
      <c r="W173" s="30">
        <v>27652.559971417832</v>
      </c>
      <c r="X173" s="30"/>
      <c r="Y173" s="30">
        <v>147533.97736943763</v>
      </c>
      <c r="Z173" s="30">
        <v>27157.270720652894</v>
      </c>
      <c r="AA173" s="30">
        <v>84105.312170008619</v>
      </c>
      <c r="AB173" s="30"/>
      <c r="AC173" s="30"/>
      <c r="AD173" s="9">
        <v>36.028440953884683</v>
      </c>
      <c r="AE173" s="30"/>
      <c r="AF173" s="30"/>
      <c r="AG173" s="30"/>
      <c r="AH173" s="30"/>
      <c r="AI173" s="30"/>
      <c r="AJ173" s="30"/>
      <c r="AK173" s="30"/>
      <c r="AL173" s="30">
        <v>2705.919097916294</v>
      </c>
      <c r="AM173" s="30">
        <v>3635.1351087578214</v>
      </c>
      <c r="AN173" s="9">
        <v>17.149594770123436</v>
      </c>
      <c r="AO173" s="9"/>
      <c r="AP173" s="9"/>
      <c r="AQ173" s="9"/>
      <c r="AR173" s="10">
        <v>122.72520008711275</v>
      </c>
      <c r="AS173" s="9"/>
      <c r="AT173" s="9"/>
      <c r="AU173" s="9">
        <v>1057.5482976715487</v>
      </c>
      <c r="AV173" s="31">
        <v>6.3578856489511476E-2</v>
      </c>
      <c r="AW173" s="9">
        <f>1000*30.1998879084227</f>
        <v>30199.887908422701</v>
      </c>
      <c r="AX173" s="10">
        <v>151.69294298651567</v>
      </c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9"/>
      <c r="BS173" s="10"/>
      <c r="BT173" s="10"/>
      <c r="BU173" s="31">
        <v>52.959819851597196</v>
      </c>
      <c r="BV173" s="31"/>
      <c r="BW173" s="9">
        <f>O173/61/(O173/61+P173/35.5+Q173/96*2)*100</f>
        <v>13.091505448740543</v>
      </c>
      <c r="BX173" s="9">
        <f>P173/35.5/(O173/61+P173/35.5+Q173/96*2)*100</f>
        <v>62.76547119368</v>
      </c>
      <c r="BY173" s="9">
        <f>Q173/96*2/(O173/61+P173/35.5+Q173/96*2)*100</f>
        <v>24.143023357579455</v>
      </c>
      <c r="BZ173" s="9">
        <f>T173/23/(T173/23+U173/24.31*2+AA173/40.08*2)*100</f>
        <v>45.685837555662538</v>
      </c>
      <c r="CA173" s="9">
        <f>AA173/40.08*2/(T173/23+U173/24.31*2+AA173/40.08*2)*100</f>
        <v>17.553674394337619</v>
      </c>
      <c r="CB173" s="9">
        <f>U173/24.31*2/(T173/23+U173/24.31*2+AA173/40.08*2)*100</f>
        <v>36.76048804999985</v>
      </c>
      <c r="CC173" s="9"/>
      <c r="CD173" s="8">
        <v>-1.7</v>
      </c>
      <c r="CE173" s="9">
        <v>-14.5</v>
      </c>
      <c r="CF173" s="30">
        <v>-104</v>
      </c>
      <c r="CG173" s="31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9"/>
      <c r="CS173" s="9"/>
      <c r="CT173" s="9"/>
      <c r="CU173" s="137"/>
      <c r="CV173" s="137"/>
    </row>
    <row r="174" spans="1:100" x14ac:dyDescent="0.4">
      <c r="A174" s="26"/>
      <c r="B174" s="40" t="s">
        <v>367</v>
      </c>
      <c r="C174" s="71" t="s">
        <v>368</v>
      </c>
      <c r="D174" s="151" t="s">
        <v>505</v>
      </c>
      <c r="E174" s="76">
        <v>45.390602999999999</v>
      </c>
      <c r="F174" s="42">
        <v>36.057662999999998</v>
      </c>
      <c r="G174" s="46">
        <v>1</v>
      </c>
      <c r="H174" s="41">
        <v>42212</v>
      </c>
      <c r="I174" s="9"/>
      <c r="J174" s="8"/>
      <c r="K174" s="8"/>
      <c r="L174" s="8"/>
      <c r="M174" s="10"/>
      <c r="N174" s="10"/>
      <c r="O174" s="29"/>
      <c r="P174" s="30"/>
      <c r="Q174" s="30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9"/>
      <c r="BX174" s="9"/>
      <c r="BY174" s="9"/>
      <c r="BZ174" s="9"/>
      <c r="CA174" s="9"/>
      <c r="CB174" s="9"/>
      <c r="CC174" s="9"/>
      <c r="CD174" s="8">
        <v>5.7</v>
      </c>
      <c r="CE174" s="9">
        <v>-14.6</v>
      </c>
      <c r="CF174" s="30">
        <v>-107</v>
      </c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9"/>
      <c r="CS174" s="9"/>
      <c r="CT174" s="9"/>
      <c r="CU174" s="9"/>
      <c r="CV174" s="9"/>
    </row>
    <row r="175" spans="1:100" x14ac:dyDescent="0.4">
      <c r="A175" s="26"/>
      <c r="B175" s="40" t="s">
        <v>369</v>
      </c>
      <c r="C175" s="69" t="s">
        <v>370</v>
      </c>
      <c r="D175" s="151" t="s">
        <v>507</v>
      </c>
      <c r="E175" s="76">
        <v>44.742583000000003</v>
      </c>
      <c r="F175" s="42">
        <v>38.074592000000003</v>
      </c>
      <c r="G175" s="30">
        <v>81</v>
      </c>
      <c r="H175" s="41">
        <v>44020</v>
      </c>
      <c r="I175" s="8"/>
      <c r="J175" s="25"/>
      <c r="K175" s="27"/>
      <c r="L175" s="8"/>
      <c r="M175" s="8"/>
      <c r="N175" s="109" t="s">
        <v>66</v>
      </c>
      <c r="O175" s="110">
        <f>P175/12*61</f>
        <v>40.463333333333331</v>
      </c>
      <c r="P175" s="113">
        <v>7.96</v>
      </c>
      <c r="Q175" s="109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109"/>
      <c r="BX175" s="144"/>
      <c r="BY175" s="144"/>
      <c r="BZ175" s="95"/>
      <c r="CA175" s="30"/>
      <c r="CB175" s="145"/>
      <c r="CC175" s="145"/>
      <c r="CD175" s="111">
        <v>-15.5</v>
      </c>
      <c r="CE175" s="112">
        <v>-1</v>
      </c>
      <c r="CF175" s="113">
        <v>-3</v>
      </c>
      <c r="CG175" s="8"/>
      <c r="CH175" s="146"/>
      <c r="CI175" s="95"/>
      <c r="CJ175" s="124"/>
      <c r="CK175" s="9"/>
      <c r="CL175" s="9"/>
      <c r="CM175" s="9"/>
      <c r="CN175" s="124"/>
      <c r="CO175" s="8"/>
      <c r="CP175" s="124"/>
      <c r="CQ175" s="9"/>
      <c r="CR175" s="9"/>
      <c r="CS175" s="9"/>
      <c r="CT175" s="9"/>
      <c r="CU175" s="9"/>
      <c r="CV175" s="9"/>
    </row>
    <row r="176" spans="1:100" x14ac:dyDescent="0.4">
      <c r="A176" s="26"/>
      <c r="B176" s="147" t="s">
        <v>371</v>
      </c>
      <c r="C176" s="69" t="s">
        <v>372</v>
      </c>
      <c r="D176" s="122" t="s">
        <v>515</v>
      </c>
      <c r="E176" s="76">
        <v>45.377960000000002</v>
      </c>
      <c r="F176" s="42">
        <v>36.622489999999999</v>
      </c>
      <c r="G176" s="30">
        <v>23</v>
      </c>
      <c r="H176" s="41">
        <v>44027</v>
      </c>
      <c r="I176" s="8"/>
      <c r="J176" s="8"/>
      <c r="K176" s="27"/>
      <c r="L176" s="8"/>
      <c r="M176" s="8"/>
      <c r="N176" s="8"/>
      <c r="O176" s="29"/>
      <c r="P176" s="30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111">
        <v>-8.1999999999999993</v>
      </c>
      <c r="CE176" s="112">
        <v>-8.5</v>
      </c>
      <c r="CF176" s="113">
        <v>-62</v>
      </c>
      <c r="CG176" s="8"/>
      <c r="CH176" s="8"/>
      <c r="CI176" s="8"/>
      <c r="CJ176" s="27"/>
      <c r="CK176" s="8"/>
      <c r="CL176" s="8"/>
      <c r="CM176" s="8"/>
      <c r="CN176" s="27"/>
      <c r="CO176" s="8"/>
      <c r="CP176" s="27"/>
      <c r="CQ176" s="8"/>
      <c r="CR176" s="9"/>
      <c r="CS176" s="9"/>
      <c r="CT176" s="9"/>
      <c r="CU176" s="9"/>
      <c r="CV176" s="9"/>
    </row>
    <row r="177" spans="1:100" x14ac:dyDescent="0.4">
      <c r="A177" s="26"/>
      <c r="B177" s="44" t="s">
        <v>512</v>
      </c>
      <c r="C177" s="69" t="s">
        <v>373</v>
      </c>
      <c r="D177" s="151" t="s">
        <v>508</v>
      </c>
      <c r="E177" s="76">
        <v>45.053637000000002</v>
      </c>
      <c r="F177" s="42">
        <v>36.168841999999998</v>
      </c>
      <c r="G177" s="30">
        <v>0</v>
      </c>
      <c r="H177" s="41">
        <v>44015</v>
      </c>
      <c r="I177" s="8"/>
      <c r="J177" s="8"/>
      <c r="K177" s="27"/>
      <c r="L177" s="8"/>
      <c r="M177" s="8"/>
      <c r="N177" s="8"/>
      <c r="O177" s="110"/>
      <c r="P177" s="30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111">
        <v>2.6</v>
      </c>
      <c r="CE177" s="112">
        <v>2.2000000000000002</v>
      </c>
      <c r="CF177" s="113">
        <v>-23</v>
      </c>
      <c r="CG177" s="8"/>
      <c r="CH177" s="8"/>
      <c r="CI177" s="8"/>
      <c r="CJ177" s="124"/>
      <c r="CK177" s="8"/>
      <c r="CL177" s="8"/>
      <c r="CM177" s="8"/>
      <c r="CN177" s="124"/>
      <c r="CO177" s="8"/>
      <c r="CP177" s="124"/>
      <c r="CQ177" s="8"/>
      <c r="CR177" s="9"/>
      <c r="CS177" s="9"/>
      <c r="CT177" s="9"/>
      <c r="CU177" s="9"/>
      <c r="CV177" s="9"/>
    </row>
    <row r="178" spans="1:100" x14ac:dyDescent="0.4">
      <c r="A178" s="26"/>
      <c r="B178" s="147" t="s">
        <v>374</v>
      </c>
      <c r="C178" s="69" t="s">
        <v>375</v>
      </c>
      <c r="D178" s="151" t="s">
        <v>509</v>
      </c>
      <c r="E178" s="76">
        <v>45.470444903979399</v>
      </c>
      <c r="F178" s="42">
        <v>36.312099588771503</v>
      </c>
      <c r="G178" s="30">
        <v>0</v>
      </c>
      <c r="H178" s="41">
        <v>43001</v>
      </c>
      <c r="I178" s="8"/>
      <c r="J178" s="8"/>
      <c r="K178" s="27"/>
      <c r="L178" s="8"/>
      <c r="M178" s="8"/>
      <c r="N178" s="8"/>
      <c r="O178" s="29"/>
      <c r="P178" s="30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111">
        <v>-8.4</v>
      </c>
      <c r="CE178" s="112">
        <v>-3.5</v>
      </c>
      <c r="CF178" s="113">
        <v>-18</v>
      </c>
      <c r="CG178" s="8"/>
      <c r="CH178" s="8"/>
      <c r="CI178" s="8"/>
      <c r="CJ178" s="27"/>
      <c r="CK178" s="8"/>
      <c r="CL178" s="8"/>
      <c r="CM178" s="8"/>
      <c r="CN178" s="27"/>
      <c r="CO178" s="8"/>
      <c r="CP178" s="27"/>
      <c r="CQ178" s="8"/>
      <c r="CR178" s="9"/>
      <c r="CS178" s="9"/>
      <c r="CT178" s="9"/>
      <c r="CU178" s="9"/>
      <c r="CV178" s="9"/>
    </row>
    <row r="179" spans="1:100" x14ac:dyDescent="0.4">
      <c r="A179" s="26"/>
      <c r="B179" s="147" t="s">
        <v>376</v>
      </c>
      <c r="C179" s="69" t="s">
        <v>377</v>
      </c>
      <c r="D179" s="151" t="s">
        <v>510</v>
      </c>
      <c r="E179" s="76">
        <v>45.536146120694298</v>
      </c>
      <c r="F179" s="42">
        <v>36.378180317606599</v>
      </c>
      <c r="G179" s="30">
        <v>0</v>
      </c>
      <c r="H179" s="41">
        <v>44089</v>
      </c>
      <c r="I179" s="8"/>
      <c r="J179" s="8"/>
      <c r="K179" s="27"/>
      <c r="L179" s="8"/>
      <c r="M179" s="8"/>
      <c r="N179" s="8"/>
      <c r="O179" s="29"/>
      <c r="P179" s="30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111">
        <v>-3.2</v>
      </c>
      <c r="CE179" s="112">
        <v>-0.1</v>
      </c>
      <c r="CF179" s="113">
        <v>-32</v>
      </c>
      <c r="CG179" s="8"/>
      <c r="CH179" s="8"/>
      <c r="CI179" s="8"/>
      <c r="CJ179" s="27"/>
      <c r="CK179" s="8"/>
      <c r="CL179" s="8"/>
      <c r="CM179" s="8"/>
      <c r="CN179" s="27"/>
      <c r="CO179" s="8"/>
      <c r="CP179" s="27"/>
      <c r="CQ179" s="8"/>
      <c r="CR179" s="9"/>
      <c r="CS179" s="9"/>
      <c r="CT179" s="9"/>
      <c r="CU179" s="9"/>
      <c r="CV179" s="9"/>
    </row>
    <row r="180" spans="1:100" ht="16.149999999999999" x14ac:dyDescent="0.55000000000000004">
      <c r="A180" s="26"/>
      <c r="B180" s="40" t="s">
        <v>378</v>
      </c>
      <c r="C180" s="71" t="s">
        <v>385</v>
      </c>
      <c r="D180" s="151" t="s">
        <v>475</v>
      </c>
      <c r="E180" s="76">
        <v>45.461789000000003</v>
      </c>
      <c r="F180" s="42">
        <v>36.312877999999998</v>
      </c>
      <c r="G180" s="46">
        <v>-4.7680550000000004</v>
      </c>
      <c r="H180" s="41">
        <v>42204</v>
      </c>
      <c r="I180" s="9">
        <f>(O180+P180+Z180/1000+AA180/1000+T180/1000+U180/1000+Y180/1000/32*96)/1000</f>
        <v>31.605778037404075</v>
      </c>
      <c r="J180" s="8">
        <v>18.3</v>
      </c>
      <c r="K180" s="148"/>
      <c r="L180" s="8">
        <v>-110</v>
      </c>
      <c r="M180" s="10">
        <v>7.4</v>
      </c>
      <c r="N180" s="10" t="s">
        <v>333</v>
      </c>
      <c r="O180" s="29">
        <v>610</v>
      </c>
      <c r="P180" s="30">
        <v>15035</v>
      </c>
      <c r="Q180" s="30">
        <f>Y180/32*96/1000</f>
        <v>6485.6923891905808</v>
      </c>
      <c r="R180" s="30">
        <v>1198902.3834635355</v>
      </c>
      <c r="S180" s="30">
        <v>16106.645485240204</v>
      </c>
      <c r="T180" s="30">
        <v>8360355.1759496517</v>
      </c>
      <c r="U180" s="30">
        <v>502676.980094534</v>
      </c>
      <c r="V180" s="30">
        <v>396.81221196371672</v>
      </c>
      <c r="W180" s="30">
        <v>7021.4451856963951</v>
      </c>
      <c r="X180" s="30"/>
      <c r="Y180" s="30">
        <v>2161897.4630635269</v>
      </c>
      <c r="Z180" s="30">
        <v>147632.16692961694</v>
      </c>
      <c r="AA180" s="30">
        <v>464421.32523969177</v>
      </c>
      <c r="AB180" s="30"/>
      <c r="AC180" s="30"/>
      <c r="AD180" s="9">
        <v>44.363128859492519</v>
      </c>
      <c r="AE180" s="30"/>
      <c r="AF180" s="30"/>
      <c r="AG180" s="30"/>
      <c r="AH180" s="30"/>
      <c r="AI180" s="30"/>
      <c r="AJ180" s="9">
        <v>8.9000890531517705</v>
      </c>
      <c r="AK180" s="9"/>
      <c r="AL180" s="30">
        <v>100708.86361070811</v>
      </c>
      <c r="AM180" s="30">
        <v>22306.883541302486</v>
      </c>
      <c r="AN180" s="30">
        <v>2470.6460552735111</v>
      </c>
      <c r="AO180" s="9"/>
      <c r="AP180" s="9"/>
      <c r="AQ180" s="9"/>
      <c r="AR180" s="10"/>
      <c r="AS180" s="9"/>
      <c r="AT180" s="9"/>
      <c r="AU180" s="9">
        <v>1559.7806735149795</v>
      </c>
      <c r="AV180" s="31"/>
      <c r="AW180" s="30">
        <f>29.5846840261641*1000</f>
        <v>29584.684026164101</v>
      </c>
      <c r="AX180" s="30">
        <v>438.74653855346469</v>
      </c>
      <c r="AY180" s="3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9"/>
      <c r="BS180" s="10"/>
      <c r="BT180" s="10"/>
      <c r="BU180" s="10">
        <v>135.10762626315415</v>
      </c>
      <c r="BV180" s="10"/>
      <c r="BW180" s="9">
        <f>O180/61/(O180/61+P180/35.5+Q180/96*2)*100</f>
        <v>1.7585827510640171</v>
      </c>
      <c r="BX180" s="9">
        <f>P180/35.5/(O180/61+P180/35.5+Q180/96*2)*100</f>
        <v>74.479694823232393</v>
      </c>
      <c r="BY180" s="9">
        <f>Q180/96*2/(O180/61+P180/35.5+Q180/96*2)*100</f>
        <v>23.761722425703606</v>
      </c>
      <c r="BZ180" s="9">
        <f>T180/23/(T180/23+U180/24.31*2+AA180/40.08*2)*100</f>
        <v>84.923674797475002</v>
      </c>
      <c r="CA180" s="9">
        <f>AA180/40.08*2/(T180/23+U180/24.31*2+AA180/40.08*2)*100</f>
        <v>5.4143499531723647</v>
      </c>
      <c r="CB180" s="9">
        <f>U180/24.31*2/(T180/23+U180/24.31*2+AA180/40.08*2)*100</f>
        <v>9.6619752493526381</v>
      </c>
      <c r="CC180" s="9"/>
      <c r="CD180" s="8">
        <v>-7.8</v>
      </c>
      <c r="CE180" s="9">
        <v>-3.3</v>
      </c>
      <c r="CF180" s="132">
        <v>-35.5</v>
      </c>
      <c r="CG180" s="10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128"/>
      <c r="CS180" s="128"/>
      <c r="CT180" s="128"/>
      <c r="CU180" s="137"/>
      <c r="CV180" s="137"/>
    </row>
    <row r="181" spans="1:100" x14ac:dyDescent="0.4">
      <c r="D181" s="7" t="s">
        <v>541</v>
      </c>
      <c r="E181" s="7" t="s">
        <v>541</v>
      </c>
      <c r="CD181" s="11"/>
      <c r="CE181" s="6"/>
      <c r="CF181" s="5"/>
      <c r="CJ181" s="12"/>
    </row>
    <row r="182" spans="1:100" x14ac:dyDescent="0.4">
      <c r="CI182" s="12"/>
    </row>
    <row r="183" spans="1:100" x14ac:dyDescent="0.4">
      <c r="CJ183" s="12"/>
    </row>
    <row r="184" spans="1:100" x14ac:dyDescent="0.4">
      <c r="CK184" s="12"/>
      <c r="CL184" s="12"/>
      <c r="CM184" s="12"/>
    </row>
    <row r="185" spans="1:100" x14ac:dyDescent="0.4">
      <c r="B185" s="33"/>
      <c r="CK185" s="12"/>
      <c r="CL185" s="12"/>
      <c r="CM185" s="12"/>
    </row>
    <row r="186" spans="1:100" x14ac:dyDescent="0.4">
      <c r="B186" s="33"/>
      <c r="CK186" s="12"/>
      <c r="CL186" s="12"/>
      <c r="CM186" s="12"/>
    </row>
    <row r="187" spans="1:100" x14ac:dyDescent="0.4">
      <c r="B187" s="33"/>
      <c r="CK187" s="12"/>
      <c r="CL187" s="12"/>
      <c r="CM187" s="12"/>
    </row>
  </sheetData>
  <mergeCells count="2">
    <mergeCell ref="CH2:CP2"/>
    <mergeCell ref="CD2:C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2021-05-20T13:16:59Z</dcterms:created>
  <dcterms:modified xsi:type="dcterms:W3CDTF">2021-08-17T10:01:35Z</dcterms:modified>
</cp:coreProperties>
</file>